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Escritorio\Traducciones\Aguas Andinas\AA Relación Inversionistas\AA Traducciones\AA 11-2025 Resultados 3T2025\"/>
    </mc:Choice>
  </mc:AlternateContent>
  <xr:revisionPtr revIDLastSave="0" documentId="13_ncr:1_{7E033BB5-830C-4E2E-986C-6A360F7E31E7}" xr6:coauthVersionLast="47" xr6:coauthVersionMax="47" xr10:uidLastSave="{00000000-0000-0000-0000-000000000000}"/>
  <bookViews>
    <workbookView xWindow="-108" yWindow="-108" windowWidth="23256" windowHeight="12456" tabRatio="904" firstSheet="1" activeTab="1" xr2:uid="{00000000-000D-0000-FFFF-FFFF00000000}"/>
  </bookViews>
  <sheets>
    <sheet name="BExRepositorySheet" sheetId="9" state="veryHidden" r:id="rId1"/>
    <sheet name="Results" sheetId="18" r:id="rId2"/>
    <sheet name="Resultados por Segmento" sheetId="29" state="hidden" r:id="rId3"/>
    <sheet name="Resultados Trimestrales" sheetId="30" state="hidden" r:id="rId4"/>
    <sheet name="Statement of Financial Position" sheetId="8" r:id="rId5"/>
    <sheet name="Financial Debt" sheetId="23" r:id="rId6"/>
    <sheet name="Cash Flow" sheetId="17" r:id="rId7"/>
    <sheet name="Indicators" sheetId="15" r:id="rId8"/>
    <sheet name="Cálculos" sheetId="4" state="hidden" r:id="rId9"/>
    <sheet name="Annualized" sheetId="10" r:id="rId10"/>
    <sheet name="Resultado" sheetId="12" state="hidden" r:id="rId11"/>
    <sheet name="Balance" sheetId="11" state="hidden" r:id="rId12"/>
    <sheet name="Flujo" sheetId="13" state="hidden" r:id="rId13"/>
    <sheet name="Valor acción" sheetId="28" state="hidden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12" hidden="1">Flujo!$B$2:$E$70</definedName>
    <definedName name="_Hlk47472038" localSheetId="2">'Resultados por Segmento'!$B$10</definedName>
    <definedName name="_xlnm.Print_Area" localSheetId="8">Cálculos!$H$4:$L$50</definedName>
    <definedName name="_xlnm.Print_Area" localSheetId="6">'Cash Flow'!#REF!</definedName>
    <definedName name="_xlnm.Print_Area" localSheetId="7">Indicators!#REF!</definedName>
    <definedName name="_xlnm.Print_Area" localSheetId="1">Results!#REF!</definedName>
    <definedName name="_xlnm.Print_Area" localSheetId="4">'Statement of Financial Position'!#REF!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0" l="1"/>
  <c r="F4" i="23" l="1"/>
  <c r="E5" i="23"/>
  <c r="C21" i="18"/>
  <c r="E8" i="23"/>
  <c r="E4" i="23"/>
  <c r="C55" i="23" l="1"/>
  <c r="B19" i="10"/>
  <c r="B18" i="10"/>
  <c r="C36" i="4" l="1"/>
  <c r="E2" i="13"/>
  <c r="E70" i="13" l="1"/>
  <c r="E72" i="13" s="1"/>
  <c r="D70" i="13"/>
  <c r="E69" i="13"/>
  <c r="D69" i="13"/>
  <c r="E68" i="13"/>
  <c r="D68" i="13"/>
  <c r="E67" i="13"/>
  <c r="D67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D2" i="13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8" i="11"/>
  <c r="D28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D3" i="11"/>
  <c r="G27" i="12"/>
  <c r="F27" i="12"/>
  <c r="E27" i="12"/>
  <c r="D27" i="12"/>
  <c r="G20" i="12"/>
  <c r="F20" i="12"/>
  <c r="E20" i="12"/>
  <c r="D20" i="12"/>
  <c r="G17" i="12"/>
  <c r="F17" i="12"/>
  <c r="E17" i="12"/>
  <c r="D17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D28" i="29"/>
  <c r="C28" i="29"/>
  <c r="D27" i="29"/>
  <c r="C27" i="29"/>
  <c r="D26" i="29"/>
  <c r="C26" i="29"/>
  <c r="D24" i="29"/>
  <c r="C24" i="29"/>
  <c r="D22" i="29"/>
  <c r="C22" i="29"/>
  <c r="D21" i="29"/>
  <c r="C21" i="29"/>
  <c r="D20" i="29"/>
  <c r="C20" i="29"/>
  <c r="D13" i="29"/>
  <c r="C13" i="29"/>
  <c r="D12" i="29"/>
  <c r="C12" i="29"/>
  <c r="D11" i="29"/>
  <c r="C11" i="29"/>
  <c r="D10" i="29"/>
  <c r="C10" i="29"/>
  <c r="D8" i="29"/>
  <c r="C8" i="29"/>
  <c r="D6" i="29"/>
  <c r="C6" i="29"/>
  <c r="D5" i="29"/>
  <c r="C5" i="29"/>
  <c r="D4" i="29"/>
  <c r="C4" i="29"/>
  <c r="A60" i="23"/>
  <c r="C59" i="23"/>
  <c r="A59" i="23"/>
  <c r="C58" i="23"/>
  <c r="A58" i="23"/>
  <c r="C57" i="23"/>
  <c r="A57" i="23"/>
  <c r="C56" i="23"/>
  <c r="A56" i="23"/>
  <c r="A55" i="23"/>
  <c r="A54" i="23"/>
  <c r="C53" i="23"/>
  <c r="A53" i="23"/>
  <c r="C52" i="23"/>
  <c r="A52" i="23"/>
  <c r="A51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H8" i="23"/>
  <c r="G8" i="23"/>
  <c r="F8" i="23"/>
  <c r="H5" i="23"/>
  <c r="G5" i="23"/>
  <c r="F5" i="23"/>
  <c r="G4" i="23"/>
  <c r="H4" i="23"/>
  <c r="J8" i="23"/>
  <c r="J5" i="23"/>
  <c r="J4" i="23"/>
  <c r="F24" i="18"/>
  <c r="C24" i="18"/>
  <c r="F23" i="18"/>
  <c r="C23" i="18"/>
  <c r="F22" i="18"/>
  <c r="C22" i="18"/>
  <c r="F21" i="18"/>
  <c r="E47" i="13" l="1"/>
  <c r="C54" i="23"/>
  <c r="C60" i="23" l="1"/>
  <c r="G12" i="12"/>
  <c r="G19" i="12" s="1"/>
  <c r="G21" i="12" s="1"/>
  <c r="G24" i="12" s="1"/>
  <c r="G26" i="12" s="1"/>
  <c r="G28" i="12" s="1"/>
  <c r="E22" i="13"/>
  <c r="F12" i="12"/>
  <c r="F19" i="12" s="1"/>
  <c r="F21" i="12" s="1"/>
  <c r="F24" i="12" s="1"/>
  <c r="F26" i="12" s="1"/>
  <c r="F30" i="12" s="1"/>
  <c r="F31" i="12" s="1"/>
  <c r="E54" i="13"/>
  <c r="E64" i="13" s="1"/>
  <c r="D22" i="13"/>
  <c r="D47" i="13"/>
  <c r="D54" i="13"/>
  <c r="D64" i="13" s="1"/>
  <c r="D65" i="13" s="1"/>
  <c r="G30" i="12" l="1"/>
  <c r="G31" i="12" s="1"/>
  <c r="E65" i="13"/>
  <c r="F28" i="12"/>
  <c r="H13" i="23" l="1"/>
  <c r="F28" i="4"/>
  <c r="F29" i="4"/>
  <c r="F30" i="4"/>
  <c r="F18" i="4"/>
  <c r="F19" i="4"/>
  <c r="F20" i="4"/>
  <c r="F21" i="4"/>
  <c r="C17" i="10" s="1"/>
  <c r="F22" i="4"/>
  <c r="F23" i="4"/>
  <c r="F24" i="4"/>
  <c r="F25" i="4"/>
  <c r="E27" i="4"/>
  <c r="E68" i="4"/>
  <c r="L30" i="4" s="1"/>
  <c r="E67" i="4"/>
  <c r="E66" i="4"/>
  <c r="E63" i="4"/>
  <c r="E61" i="4"/>
  <c r="E60" i="4"/>
  <c r="E59" i="4"/>
  <c r="L24" i="4" s="1"/>
  <c r="E58" i="4"/>
  <c r="E56" i="4"/>
  <c r="E55" i="4"/>
  <c r="E54" i="4"/>
  <c r="C10" i="10" l="1"/>
  <c r="F31" i="4"/>
  <c r="E53" i="4"/>
  <c r="E52" i="4"/>
  <c r="E51" i="4"/>
  <c r="E50" i="4"/>
  <c r="F13" i="4" l="1"/>
  <c r="F12" i="4"/>
  <c r="F11" i="4"/>
  <c r="F10" i="4"/>
  <c r="F7" i="4"/>
  <c r="F6" i="4"/>
  <c r="D48" i="23"/>
  <c r="D54" i="4" l="1"/>
  <c r="D10" i="18"/>
  <c r="L50" i="4"/>
  <c r="J50" i="4"/>
  <c r="C54" i="4" l="1"/>
  <c r="D13" i="23" l="1"/>
  <c r="D23" i="29" l="1"/>
  <c r="D25" i="29" s="1"/>
  <c r="D7" i="29" l="1"/>
  <c r="D9" i="29" s="1"/>
  <c r="D14" i="29" s="1"/>
  <c r="D15" i="29" s="1"/>
  <c r="D29" i="29"/>
  <c r="D30" i="29" s="1"/>
  <c r="E28" i="4" l="1"/>
  <c r="C9" i="18"/>
  <c r="D4" i="23"/>
  <c r="D14" i="23" s="1"/>
  <c r="D8" i="23" l="1"/>
  <c r="C5" i="18"/>
  <c r="D5" i="18"/>
  <c r="D5" i="23"/>
  <c r="D15" i="23" s="1"/>
  <c r="C44" i="18"/>
  <c r="D9" i="23" l="1"/>
  <c r="D16" i="23"/>
  <c r="D9" i="18"/>
  <c r="D43" i="23" l="1"/>
  <c r="H14" i="23"/>
  <c r="D46" i="23"/>
  <c r="D44" i="18"/>
  <c r="C25" i="18" l="1"/>
  <c r="D46" i="4" l="1"/>
  <c r="D13" i="30" l="1"/>
  <c r="C13" i="30"/>
  <c r="C12" i="30"/>
  <c r="C11" i="30"/>
  <c r="C9" i="30"/>
  <c r="C7" i="30"/>
  <c r="C4" i="30"/>
  <c r="G62" i="11" l="1"/>
  <c r="C5" i="30"/>
  <c r="C6" i="30" s="1"/>
  <c r="C8" i="30" s="1"/>
  <c r="C14" i="30" s="1"/>
  <c r="C15" i="30" l="1"/>
  <c r="H7" i="23" l="1"/>
  <c r="G7" i="23"/>
  <c r="F7" i="23"/>
  <c r="L49" i="4" l="1"/>
  <c r="C46" i="4"/>
  <c r="J49" i="4" s="1"/>
  <c r="F27" i="4" l="1"/>
  <c r="G14" i="11" l="1"/>
  <c r="E43" i="18"/>
  <c r="E41" i="18"/>
  <c r="E42" i="18"/>
  <c r="E40" i="18"/>
  <c r="D13" i="18"/>
  <c r="C13" i="18"/>
  <c r="C38" i="29"/>
  <c r="C42" i="29" l="1"/>
  <c r="F9" i="18"/>
  <c r="C23" i="29"/>
  <c r="C25" i="29" l="1"/>
  <c r="C29" i="29" l="1"/>
  <c r="C30" i="29" s="1"/>
  <c r="C49" i="4"/>
  <c r="D27" i="4"/>
  <c r="D16" i="4"/>
  <c r="D6" i="23" l="1"/>
  <c r="D7" i="23" l="1"/>
  <c r="D11" i="18"/>
  <c r="C11" i="18"/>
  <c r="C40" i="29" l="1"/>
  <c r="C34" i="29"/>
  <c r="G13" i="30" l="1"/>
  <c r="E13" i="30" s="1"/>
  <c r="G10" i="30" l="1"/>
  <c r="J69" i="13" l="1"/>
  <c r="K68" i="13" l="1"/>
  <c r="J53" i="13" l="1"/>
  <c r="G13" i="13"/>
  <c r="L10" i="4"/>
  <c r="C7" i="29" l="1"/>
  <c r="C9" i="29" l="1"/>
  <c r="G12" i="29"/>
  <c r="E12" i="29" s="1"/>
  <c r="G11" i="29"/>
  <c r="E11" i="29" s="1"/>
  <c r="G10" i="29"/>
  <c r="G8" i="29"/>
  <c r="E8" i="29" s="1"/>
  <c r="G7" i="29"/>
  <c r="E7" i="29" s="1"/>
  <c r="G6" i="29"/>
  <c r="E6" i="29" s="1"/>
  <c r="G5" i="29"/>
  <c r="E5" i="29" s="1"/>
  <c r="G9" i="29" l="1"/>
  <c r="E9" i="29" s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F10" i="18" l="1"/>
  <c r="E10" i="18" s="1"/>
  <c r="C66" i="4" l="1"/>
  <c r="C63" i="4"/>
  <c r="E32" i="4" l="1"/>
  <c r="F32" i="4" s="1"/>
  <c r="E3" i="15" l="1"/>
  <c r="D3" i="17"/>
  <c r="C3" i="17"/>
  <c r="E7" i="23" l="1"/>
  <c r="C18" i="18" l="1"/>
  <c r="D12" i="12" l="1"/>
  <c r="D19" i="12" s="1"/>
  <c r="D21" i="12" s="1"/>
  <c r="F13" i="18" l="1"/>
  <c r="E13" i="18" s="1"/>
  <c r="L22" i="12"/>
  <c r="M22" i="12" s="1"/>
  <c r="C67" i="4"/>
  <c r="D67" i="4"/>
  <c r="I22" i="12"/>
  <c r="J22" i="12" s="1"/>
  <c r="I47" i="13"/>
  <c r="E44" i="18" l="1"/>
  <c r="G35" i="18"/>
  <c r="E35" i="18" s="1"/>
  <c r="G34" i="18"/>
  <c r="E34" i="18" s="1"/>
  <c r="D12" i="18" l="1"/>
  <c r="C12" i="18"/>
  <c r="D7" i="18"/>
  <c r="C7" i="18"/>
  <c r="D4" i="18"/>
  <c r="C4" i="18"/>
  <c r="C41" i="29" l="1"/>
  <c r="C33" i="29"/>
  <c r="C36" i="29"/>
  <c r="D6" i="18"/>
  <c r="D8" i="18" s="1"/>
  <c r="C6" i="18"/>
  <c r="E12" i="12"/>
  <c r="E19" i="12" s="1"/>
  <c r="E21" i="12" s="1"/>
  <c r="F25" i="18"/>
  <c r="C8" i="18" l="1"/>
  <c r="C35" i="29"/>
  <c r="C26" i="18"/>
  <c r="D25" i="18"/>
  <c r="F4" i="18"/>
  <c r="E4" i="18" s="1"/>
  <c r="F5" i="18"/>
  <c r="E5" i="18" s="1"/>
  <c r="F7" i="18"/>
  <c r="E7" i="18" s="1"/>
  <c r="E9" i="18"/>
  <c r="F11" i="18"/>
  <c r="E11" i="18" s="1"/>
  <c r="F12" i="18"/>
  <c r="E12" i="18" s="1"/>
  <c r="C37" i="29" l="1"/>
  <c r="G25" i="18"/>
  <c r="F6" i="18"/>
  <c r="E6" i="18" s="1"/>
  <c r="F8" i="18"/>
  <c r="E8" i="18" s="1"/>
  <c r="E62" i="4" l="1"/>
  <c r="H17" i="13" l="1"/>
  <c r="H16" i="13"/>
  <c r="H9" i="23" l="1"/>
  <c r="G9" i="23"/>
  <c r="G10" i="23" s="1"/>
  <c r="E9" i="23"/>
  <c r="E10" i="23" s="1"/>
  <c r="F9" i="23" l="1"/>
  <c r="F10" i="23" s="1"/>
  <c r="I10" i="12" l="1"/>
  <c r="J10" i="12" s="1"/>
  <c r="I11" i="12"/>
  <c r="J11" i="12" s="1"/>
  <c r="I14" i="12"/>
  <c r="J14" i="12" s="1"/>
  <c r="I16" i="12"/>
  <c r="J16" i="12" s="1"/>
  <c r="I17" i="12"/>
  <c r="J17" i="12" s="1"/>
  <c r="E31" i="11"/>
  <c r="D31" i="11"/>
  <c r="I13" i="12" l="1"/>
  <c r="J13" i="12" s="1"/>
  <c r="G5" i="13" l="1"/>
  <c r="G6" i="13" l="1"/>
  <c r="D24" i="12" l="1"/>
  <c r="D26" i="12" s="1"/>
  <c r="D30" i="12" l="1"/>
  <c r="D31" i="12" s="1"/>
  <c r="C14" i="18"/>
  <c r="E24" i="12"/>
  <c r="E26" i="12" s="1"/>
  <c r="E30" i="12" s="1"/>
  <c r="E31" i="12" s="1"/>
  <c r="E39" i="18"/>
  <c r="C16" i="18" l="1"/>
  <c r="C15" i="18"/>
  <c r="D14" i="18"/>
  <c r="D16" i="18" s="1"/>
  <c r="E28" i="12"/>
  <c r="D28" i="12"/>
  <c r="G3" i="29"/>
  <c r="D3" i="29"/>
  <c r="D19" i="29" s="1"/>
  <c r="C3" i="29"/>
  <c r="C19" i="29" s="1"/>
  <c r="D15" i="18" l="1"/>
  <c r="F14" i="18"/>
  <c r="E14" i="18" s="1"/>
  <c r="G19" i="29"/>
  <c r="G4" i="29" l="1"/>
  <c r="E4" i="29" s="1"/>
  <c r="I9" i="12" l="1"/>
  <c r="L9" i="12" l="1"/>
  <c r="M9" i="12" s="1"/>
  <c r="J9" i="12"/>
  <c r="D68" i="4"/>
  <c r="C68" i="4"/>
  <c r="D66" i="4"/>
  <c r="E24" i="4" s="1"/>
  <c r="D24" i="4"/>
  <c r="J27" i="4" s="1"/>
  <c r="P50" i="4"/>
  <c r="D63" i="4"/>
  <c r="D61" i="4"/>
  <c r="C61" i="4"/>
  <c r="D60" i="4"/>
  <c r="C60" i="4"/>
  <c r="D59" i="4"/>
  <c r="C59" i="4"/>
  <c r="D21" i="4" s="1"/>
  <c r="C19" i="10" s="1"/>
  <c r="D58" i="4"/>
  <c r="C58" i="4"/>
  <c r="D56" i="4"/>
  <c r="C56" i="4"/>
  <c r="D55" i="4"/>
  <c r="C55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E29" i="4"/>
  <c r="F14" i="4"/>
  <c r="F8" i="4"/>
  <c r="L4" i="4"/>
  <c r="J4" i="4"/>
  <c r="E21" i="4" l="1"/>
  <c r="C18" i="10" s="1"/>
  <c r="J28" i="4"/>
  <c r="J30" i="4"/>
  <c r="C62" i="4"/>
  <c r="D18" i="4"/>
  <c r="J35" i="4" s="1"/>
  <c r="C57" i="4"/>
  <c r="E18" i="4"/>
  <c r="F15" i="4"/>
  <c r="D62" i="4"/>
  <c r="D57" i="4"/>
  <c r="K49" i="4"/>
  <c r="O49" i="4" s="1"/>
  <c r="P49" i="4"/>
  <c r="D19" i="4"/>
  <c r="E19" i="4"/>
  <c r="L35" i="4" l="1"/>
  <c r="P35" i="4" s="1"/>
  <c r="E57" i="4"/>
  <c r="E65" i="4" s="1"/>
  <c r="C65" i="4"/>
  <c r="D65" i="4"/>
  <c r="E69" i="4" l="1"/>
  <c r="E70" i="4" s="1"/>
  <c r="E20" i="4"/>
  <c r="C11" i="10" s="1"/>
  <c r="D69" i="4"/>
  <c r="D70" i="4" s="1"/>
  <c r="C4" i="10" s="1"/>
  <c r="D20" i="4"/>
  <c r="C12" i="10" s="1"/>
  <c r="C69" i="4"/>
  <c r="C70" i="4" s="1"/>
  <c r="C5" i="10" s="1"/>
  <c r="L39" i="4" l="1"/>
  <c r="L42" i="4" s="1"/>
  <c r="C3" i="10"/>
  <c r="E23" i="4"/>
  <c r="D23" i="4"/>
  <c r="J26" i="4" s="1"/>
  <c r="J32" i="4" s="1"/>
  <c r="D22" i="4" s="1"/>
  <c r="G67" i="13"/>
  <c r="H67" i="13" s="1"/>
  <c r="G66" i="13"/>
  <c r="H66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7" i="12"/>
  <c r="J27" i="12" s="1"/>
  <c r="I20" i="12"/>
  <c r="J20" i="12" s="1"/>
  <c r="I8" i="12"/>
  <c r="J8" i="12" s="1"/>
  <c r="I7" i="12"/>
  <c r="J7" i="12" s="1"/>
  <c r="I6" i="12"/>
  <c r="J6" i="12" s="1"/>
  <c r="I5" i="12"/>
  <c r="L45" i="4" l="1"/>
  <c r="M45" i="4" s="1"/>
  <c r="J5" i="12"/>
  <c r="L8" i="12"/>
  <c r="M8" i="12" s="1"/>
  <c r="L27" i="12"/>
  <c r="M27" i="12" s="1"/>
  <c r="L6" i="12"/>
  <c r="M6" i="12" s="1"/>
  <c r="L20" i="12"/>
  <c r="M20" i="12" s="1"/>
  <c r="L14" i="12"/>
  <c r="M14" i="12" s="1"/>
  <c r="L16" i="12"/>
  <c r="M16" i="12" s="1"/>
  <c r="L11" i="12"/>
  <c r="M11" i="12" s="1"/>
  <c r="L13" i="12"/>
  <c r="M13" i="12" s="1"/>
  <c r="L5" i="12"/>
  <c r="M5" i="12" s="1"/>
  <c r="L10" i="12"/>
  <c r="M10" i="12" s="1"/>
  <c r="L21" i="12" l="1"/>
  <c r="M21" i="12" s="1"/>
  <c r="L7" i="12"/>
  <c r="M7" i="12" s="1"/>
  <c r="L17" i="12"/>
  <c r="M17" i="12" s="1"/>
  <c r="L28" i="12" l="1"/>
  <c r="M28" i="12" s="1"/>
  <c r="L24" i="12"/>
  <c r="M24" i="12" s="1"/>
  <c r="D5" i="17"/>
  <c r="C5" i="17"/>
  <c r="D27" i="18"/>
  <c r="C27" i="18"/>
  <c r="F18" i="18"/>
  <c r="D3" i="15" l="1"/>
  <c r="C4" i="17"/>
  <c r="D33" i="18" l="1"/>
  <c r="D39" i="18" s="1"/>
  <c r="C33" i="18"/>
  <c r="C39" i="18" s="1"/>
  <c r="I19" i="12"/>
  <c r="L19" i="12" l="1"/>
  <c r="M19" i="12" s="1"/>
  <c r="J19" i="12"/>
  <c r="I21" i="12"/>
  <c r="J21" i="12" s="1"/>
  <c r="F26" i="18" l="1"/>
  <c r="I24" i="12"/>
  <c r="J24" i="12" s="1"/>
  <c r="I26" i="12" l="1"/>
  <c r="J26" i="12" s="1"/>
  <c r="I28" i="12"/>
  <c r="J28" i="12" s="1"/>
  <c r="L26" i="12" l="1"/>
  <c r="M26" i="12" s="1"/>
  <c r="B20" i="10"/>
  <c r="B16" i="23" l="1"/>
  <c r="B13" i="23"/>
  <c r="E5" i="17" l="1"/>
  <c r="D16" i="15"/>
  <c r="E16" i="15" l="1"/>
  <c r="E15" i="15" l="1"/>
  <c r="C20" i="10" l="1"/>
  <c r="J24" i="4" s="1"/>
  <c r="Q24" i="4" l="1"/>
  <c r="P24" i="4"/>
  <c r="C13" i="10"/>
  <c r="J23" i="4" s="1"/>
  <c r="K23" i="4" l="1"/>
  <c r="C6" i="10"/>
  <c r="J39" i="4" s="1"/>
  <c r="P39" i="4" l="1"/>
  <c r="Q39" i="4"/>
  <c r="J42" i="4"/>
  <c r="D11" i="15"/>
  <c r="Q42" i="4" l="1"/>
  <c r="J45" i="4"/>
  <c r="K45" i="4" s="1"/>
  <c r="O45" i="4" s="1"/>
  <c r="P42" i="4"/>
  <c r="P45" i="4" l="1"/>
  <c r="D15" i="15"/>
  <c r="D12" i="4" l="1"/>
  <c r="C13" i="8"/>
  <c r="C4" i="8" l="1"/>
  <c r="C9" i="8"/>
  <c r="D7" i="4"/>
  <c r="C5" i="8"/>
  <c r="C6" i="8" l="1"/>
  <c r="D11" i="4"/>
  <c r="J20" i="4" s="1"/>
  <c r="D13" i="4"/>
  <c r="J40" i="4" s="1"/>
  <c r="C12" i="8"/>
  <c r="D6" i="4"/>
  <c r="C8" i="8"/>
  <c r="C10" i="8" s="1"/>
  <c r="J15" i="4" l="1"/>
  <c r="J7" i="4"/>
  <c r="D8" i="4"/>
  <c r="D10" i="4"/>
  <c r="C14" i="8"/>
  <c r="J14" i="4" l="1"/>
  <c r="J18" i="4"/>
  <c r="J21" i="4" s="1"/>
  <c r="J17" i="4"/>
  <c r="J11" i="4"/>
  <c r="J8" i="4"/>
  <c r="K7" i="4" s="1"/>
  <c r="D69" i="11"/>
  <c r="D14" i="4"/>
  <c r="D15" i="4" s="1"/>
  <c r="C15" i="8"/>
  <c r="K14" i="4" l="1"/>
  <c r="D5" i="15"/>
  <c r="K17" i="4"/>
  <c r="K20" i="4" l="1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D9" i="8" l="1"/>
  <c r="E7" i="4"/>
  <c r="E12" i="4"/>
  <c r="D13" i="8"/>
  <c r="G64" i="11"/>
  <c r="H64" i="11" s="1"/>
  <c r="G63" i="11"/>
  <c r="G58" i="11"/>
  <c r="H58" i="11" s="1"/>
  <c r="G13" i="11"/>
  <c r="H13" i="11" s="1"/>
  <c r="D4" i="8" l="1"/>
  <c r="G15" i="11"/>
  <c r="H15" i="11" s="1"/>
  <c r="E11" i="4"/>
  <c r="L20" i="4" s="1"/>
  <c r="P20" i="4" s="1"/>
  <c r="G42" i="11"/>
  <c r="H42" i="11" s="1"/>
  <c r="D8" i="8"/>
  <c r="D10" i="8" s="1"/>
  <c r="G54" i="11"/>
  <c r="H54" i="11" s="1"/>
  <c r="G26" i="11"/>
  <c r="H26" i="11" s="1"/>
  <c r="D5" i="8"/>
  <c r="E5" i="8" s="1"/>
  <c r="G28" i="11"/>
  <c r="H28" i="11" s="1"/>
  <c r="E6" i="4"/>
  <c r="G65" i="11"/>
  <c r="H65" i="11" s="1"/>
  <c r="E13" i="4"/>
  <c r="D12" i="8"/>
  <c r="D14" i="8" s="1"/>
  <c r="H63" i="11"/>
  <c r="E10" i="4"/>
  <c r="G44" i="11"/>
  <c r="H44" i="11" s="1"/>
  <c r="E9" i="8"/>
  <c r="E13" i="8"/>
  <c r="E4" i="8" l="1"/>
  <c r="Q20" i="4"/>
  <c r="E8" i="8"/>
  <c r="D6" i="8"/>
  <c r="E6" i="8" s="1"/>
  <c r="E12" i="8"/>
  <c r="L7" i="4"/>
  <c r="Q7" i="4" s="1"/>
  <c r="E8" i="4"/>
  <c r="L11" i="4"/>
  <c r="L18" i="4"/>
  <c r="E14" i="4"/>
  <c r="L14" i="4"/>
  <c r="L8" i="4"/>
  <c r="L17" i="4"/>
  <c r="L40" i="4"/>
  <c r="M39" i="4" s="1"/>
  <c r="E13" i="15" s="1"/>
  <c r="L15" i="4"/>
  <c r="G56" i="11"/>
  <c r="H56" i="11" s="1"/>
  <c r="D15" i="8"/>
  <c r="E14" i="8"/>
  <c r="E10" i="8"/>
  <c r="L43" i="4" l="1"/>
  <c r="M42" i="4" s="1"/>
  <c r="P15" i="4"/>
  <c r="Q15" i="4"/>
  <c r="M7" i="4"/>
  <c r="O7" i="4" s="1"/>
  <c r="P8" i="4"/>
  <c r="Q8" i="4"/>
  <c r="M10" i="4"/>
  <c r="E6" i="15" s="1"/>
  <c r="P11" i="4"/>
  <c r="Q11" i="4"/>
  <c r="E15" i="8"/>
  <c r="P40" i="4"/>
  <c r="Q40" i="4"/>
  <c r="K39" i="4"/>
  <c r="M14" i="4"/>
  <c r="Q14" i="4"/>
  <c r="P14" i="4"/>
  <c r="J43" i="4"/>
  <c r="E15" i="4"/>
  <c r="P7" i="4"/>
  <c r="E69" i="11"/>
  <c r="G67" i="11"/>
  <c r="H67" i="11" s="1"/>
  <c r="M17" i="4"/>
  <c r="E9" i="15" s="1"/>
  <c r="Q17" i="4"/>
  <c r="P17" i="4"/>
  <c r="L21" i="4"/>
  <c r="Q18" i="4"/>
  <c r="P18" i="4"/>
  <c r="E14" i="15" l="1"/>
  <c r="E5" i="15"/>
  <c r="O17" i="4"/>
  <c r="M20" i="4"/>
  <c r="E10" i="15" s="1"/>
  <c r="P21" i="4"/>
  <c r="Q21" i="4"/>
  <c r="E8" i="15"/>
  <c r="O14" i="4"/>
  <c r="P43" i="4"/>
  <c r="Q43" i="4"/>
  <c r="K42" i="4"/>
  <c r="D13" i="15"/>
  <c r="O39" i="4"/>
  <c r="O20" i="4" l="1"/>
  <c r="O42" i="4"/>
  <c r="D14" i="15"/>
  <c r="D30" i="4" l="1"/>
  <c r="D31" i="4" l="1"/>
  <c r="C6" i="17"/>
  <c r="C7" i="17" l="1"/>
  <c r="G62" i="13" l="1"/>
  <c r="H62" i="13" s="1"/>
  <c r="G63" i="13"/>
  <c r="H63" i="13" s="1"/>
  <c r="E30" i="4" l="1"/>
  <c r="G64" i="13"/>
  <c r="H64" i="13" s="1"/>
  <c r="D32" i="4" l="1"/>
  <c r="D33" i="4" s="1"/>
  <c r="J10" i="4" s="1"/>
  <c r="G69" i="13"/>
  <c r="H69" i="13" s="1"/>
  <c r="D6" i="17"/>
  <c r="D34" i="4" l="1"/>
  <c r="C8" i="17"/>
  <c r="C9" i="17" s="1"/>
  <c r="E6" i="17"/>
  <c r="Q10" i="4" l="1"/>
  <c r="P10" i="4"/>
  <c r="K10" i="4"/>
  <c r="D6" i="15" l="1"/>
  <c r="O10" i="4"/>
  <c r="H10" i="23" l="1"/>
  <c r="D10" i="23" l="1"/>
  <c r="C14" i="23" s="1"/>
  <c r="D49" i="23" l="1"/>
  <c r="C13" i="23"/>
  <c r="C15" i="23"/>
  <c r="C16" i="23"/>
  <c r="G14" i="23"/>
  <c r="C17" i="23" l="1"/>
  <c r="G13" i="29" l="1"/>
  <c r="E13" i="29" s="1"/>
  <c r="C14" i="29"/>
  <c r="C15" i="29" s="1"/>
  <c r="C43" i="29" l="1"/>
  <c r="G14" i="29"/>
  <c r="E14" i="29" s="1"/>
  <c r="G14" i="13" l="1"/>
  <c r="H14" i="13" s="1"/>
  <c r="G10" i="13" l="1"/>
  <c r="H10" i="13" s="1"/>
  <c r="G15" i="13" l="1"/>
  <c r="H15" i="13" s="1"/>
  <c r="G22" i="13" l="1"/>
  <c r="H22" i="13" s="1"/>
  <c r="G65" i="13"/>
  <c r="H65" i="13" s="1"/>
  <c r="D4" i="17" l="1"/>
  <c r="E31" i="4"/>
  <c r="E33" i="4" l="1"/>
  <c r="D8" i="17" s="1"/>
  <c r="F33" i="4"/>
  <c r="F34" i="4" s="1"/>
  <c r="E4" i="17"/>
  <c r="D7" i="17"/>
  <c r="E8" i="17" l="1"/>
  <c r="E7" i="17"/>
  <c r="G68" i="13" l="1"/>
  <c r="H68" i="13" s="1"/>
  <c r="D72" i="13"/>
  <c r="G70" i="13"/>
  <c r="H70" i="13" s="1"/>
  <c r="L26" i="4" l="1"/>
  <c r="L27" i="4"/>
  <c r="L28" i="4"/>
  <c r="L29" i="4"/>
  <c r="L23" i="4"/>
  <c r="P23" i="4" s="1"/>
  <c r="L32" i="4" l="1"/>
  <c r="E22" i="4" s="1"/>
  <c r="Q23" i="4"/>
  <c r="M23" i="4"/>
  <c r="M32" i="4" l="1"/>
  <c r="E11" i="15"/>
  <c r="O23" i="4"/>
  <c r="D45" i="23" l="1"/>
  <c r="G13" i="23" l="1"/>
  <c r="G15" i="23" s="1"/>
  <c r="H15" i="23"/>
  <c r="D11" i="23" s="1"/>
  <c r="D9" i="30"/>
  <c r="G9" i="30" s="1"/>
  <c r="E9" i="30" s="1"/>
  <c r="D7" i="30"/>
  <c r="G7" i="30" s="1"/>
  <c r="E7" i="30" s="1"/>
  <c r="D4" i="30" l="1"/>
  <c r="G4" i="30" s="1"/>
  <c r="E4" i="30" s="1"/>
  <c r="D11" i="30"/>
  <c r="G11" i="30" s="1"/>
  <c r="E11" i="30" s="1"/>
  <c r="D5" i="30"/>
  <c r="D12" i="30"/>
  <c r="G12" i="30" s="1"/>
  <c r="E12" i="30" s="1"/>
  <c r="D6" i="30" l="1"/>
  <c r="G5" i="30"/>
  <c r="E5" i="30" s="1"/>
  <c r="D8" i="30" l="1"/>
  <c r="G6" i="30"/>
  <c r="E6" i="30" s="1"/>
  <c r="D14" i="30" l="1"/>
  <c r="G8" i="30"/>
  <c r="E8" i="30" s="1"/>
  <c r="D15" i="30" l="1"/>
  <c r="G14" i="30"/>
  <c r="E14" i="30" s="1"/>
</calcChain>
</file>

<file path=xl/sharedStrings.xml><?xml version="1.0" encoding="utf-8"?>
<sst xmlns="http://schemas.openxmlformats.org/spreadsheetml/2006/main" count="580" uniqueCount="414">
  <si>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</si>
  <si>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</si>
  <si>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</si>
  <si>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</si>
  <si>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</si>
  <si>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</si>
  <si>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</si>
  <si>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</si>
  <si>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</si>
  <si>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</si>
  <si>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</si>
  <si>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</si>
  <si>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</si>
  <si>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</si>
  <si>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</si>
  <si>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</si>
  <si>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</si>
  <si>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</si>
  <si>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</si>
  <si>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</si>
  <si>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</si>
  <si>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</si>
  <si>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</si>
  <si>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</si>
  <si>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</si>
  <si>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</si>
  <si>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</si>
  <si>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</si>
  <si>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</si>
  <si>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</si>
  <si>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</si>
  <si>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</si>
  <si>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</si>
  <si>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</si>
  <si>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</si>
  <si>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</si>
  <si>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</si>
  <si>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</si>
  <si>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</si>
  <si>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</si>
  <si>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</si>
  <si>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</si>
  <si>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</si>
  <si>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</si>
  <si>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</si>
  <si>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</si>
  <si>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</si>
  <si>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</si>
  <si>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</si>
  <si>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</si>
  <si>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</si>
  <si>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</si>
  <si>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</si>
  <si>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</si>
  <si>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</si>
  <si>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</si>
  <si>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</si>
  <si>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</si>
  <si>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</si>
  <si>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</si>
  <si>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</si>
  <si>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</si>
  <si>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</si>
  <si>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</si>
  <si>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</si>
  <si>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</si>
  <si>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</si>
  <si>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</si>
  <si>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</si>
  <si>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</si>
  <si>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</si>
  <si>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</si>
  <si>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</si>
  <si>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</si>
  <si>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</si>
  <si>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</si>
  <si>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</si>
  <si>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</si>
  <si>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</si>
  <si>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</si>
  <si>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</si>
  <si>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</si>
  <si>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</si>
  <si>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</si>
  <si>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</si>
  <si>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</si>
  <si>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</si>
  <si>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</si>
  <si>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</si>
  <si>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</si>
  <si>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</si>
  <si>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</si>
  <si>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</si>
  <si>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</si>
  <si>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</si>
  <si>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</si>
  <si>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</si>
  <si>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</si>
  <si>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</si>
  <si>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</si>
  <si>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</si>
  <si>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</si>
  <si>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</si>
  <si>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</si>
  <si>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</si>
  <si>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</si>
  <si>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</si>
  <si>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</si>
  <si>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</si>
  <si>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</si>
  <si>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</si>
  <si>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</si>
  <si>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</si>
  <si>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Otras participaciones en el patrimonio</t>
  </si>
  <si>
    <t>Ganancia</t>
  </si>
  <si>
    <t xml:space="preserve">Ganancia </t>
  </si>
  <si>
    <t xml:space="preserve">Ganancias por acción básica 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</si>
  <si>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</si>
  <si>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</si>
  <si>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</si>
  <si>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</si>
  <si>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</si>
  <si>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</si>
  <si>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</si>
  <si>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</si>
  <si>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</si>
  <si>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</si>
  <si>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</si>
  <si>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</si>
  <si>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</si>
  <si>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</si>
  <si>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</si>
  <si>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</si>
  <si>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</si>
  <si>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</si>
  <si>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</si>
  <si>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</si>
  <si>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</si>
  <si>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</si>
  <si>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</si>
  <si>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</si>
  <si>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</si>
  <si>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</si>
  <si>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</si>
  <si>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</si>
  <si>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</si>
  <si>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</si>
  <si>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</si>
  <si>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</si>
  <si>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</si>
  <si>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</si>
  <si>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</si>
  <si>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</si>
  <si>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</si>
  <si>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</si>
  <si>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</si>
  <si>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</si>
  <si>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</si>
  <si>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</si>
  <si>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</si>
  <si>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</si>
  <si>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</si>
  <si>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</si>
  <si>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</si>
  <si>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</si>
  <si>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</si>
  <si>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</si>
  <si>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</si>
  <si>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</si>
  <si>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</si>
  <si>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</si>
  <si>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</si>
  <si>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</si>
  <si>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</si>
  <si>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Resultados</t>
  </si>
  <si>
    <t>Análisis de Ingresos</t>
  </si>
  <si>
    <t>Variable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</si>
  <si>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</si>
  <si>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</si>
  <si>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</si>
  <si>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</si>
  <si>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</si>
  <si>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</si>
  <si>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</si>
  <si>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</si>
  <si>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</si>
  <si>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</si>
  <si>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</si>
  <si>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</si>
  <si>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</si>
  <si>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</si>
  <si>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</si>
  <si>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</si>
  <si>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</si>
  <si>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</si>
  <si>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</si>
  <si>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</si>
  <si>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</si>
  <si>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</si>
  <si>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</si>
  <si>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</si>
  <si>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</si>
  <si>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</si>
  <si>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</si>
  <si>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</si>
  <si>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</si>
  <si>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</si>
  <si>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</si>
  <si>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</si>
  <si>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</si>
  <si>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</si>
  <si>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</si>
  <si>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>Ingresos externos</t>
  </si>
  <si>
    <t>Ingresos segmentos</t>
  </si>
  <si>
    <t>Otras ganancias (pérdidas)</t>
  </si>
  <si>
    <t>Dividendos: indicar pago últimos 12 meses histórico</t>
  </si>
  <si>
    <t xml:space="preserve">      % Var.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</si>
  <si>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</si>
  <si>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</si>
  <si>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</si>
  <si>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</si>
  <si>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</si>
  <si>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Otras (Pérdidas) Ganancias</t>
  </si>
  <si>
    <t>Control</t>
  </si>
  <si>
    <t>TOTAL ACTIVO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</si>
  <si>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</si>
  <si>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</si>
  <si>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</si>
  <si>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</si>
  <si>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</si>
  <si>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</si>
  <si>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</si>
  <si>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</si>
  <si>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</si>
  <si>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</si>
  <si>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de (utilizados en) actividades de operación</t>
  </si>
  <si>
    <t>Importes procedentes de préstamos, clasificados como actividades de financiación</t>
  </si>
  <si>
    <t xml:space="preserve">Incremento (disminución) en el efectivo y equivalentes al efectivo, antes del efecto de los cambios en la tasa de cambio </t>
  </si>
  <si>
    <t>&lt;(200%)</t>
  </si>
  <si>
    <t>Otras reservas</t>
  </si>
  <si>
    <t xml:space="preserve">Pérdidas por deterioro de valor </t>
  </si>
  <si>
    <t>Pérdidas por deterioro de valor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</si>
  <si>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</si>
  <si>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</si>
  <si>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</si>
  <si>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</si>
  <si>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</si>
  <si>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Hidrogistica S.A.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</si>
  <si>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</si>
  <si>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</si>
  <si>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</si>
  <si>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</si>
  <si>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</si>
  <si>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</si>
  <si>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</si>
  <si>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</si>
  <si>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</si>
  <si>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</si>
  <si>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</si>
  <si>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</si>
  <si>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</si>
  <si>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</si>
  <si>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</si>
  <si>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 xml:space="preserve">Otros pasivos financieros </t>
  </si>
  <si>
    <t>Dic-23</t>
  </si>
  <si>
    <t xml:space="preserve">Impuestos a las ganancias (pagados) </t>
  </si>
  <si>
    <t>Efectos de la variación en la tasa de cambio sobre el efectivo y equivalentes al efectivo.</t>
  </si>
  <si>
    <t>Interes minoritario</t>
  </si>
  <si>
    <t>Interés Minoritario</t>
  </si>
  <si>
    <t>Ganancia, atribuible a participaciones no controladora</t>
  </si>
  <si>
    <t>12-14-15</t>
  </si>
  <si>
    <t>24</t>
  </si>
  <si>
    <t>Interés minoritario</t>
  </si>
  <si>
    <t>Biogenera S.A.</t>
  </si>
  <si>
    <t>01-07-2024
30-09-2024</t>
  </si>
  <si>
    <t>01-07-2023
30-09-2023</t>
  </si>
  <si>
    <t>Validaciones</t>
  </si>
  <si>
    <t>Ebitda</t>
  </si>
  <si>
    <t>Mayor inversión, mayores pagos a proveedores de bienes y servicios</t>
  </si>
  <si>
    <t xml:space="preserve">Pago Bonos </t>
  </si>
  <si>
    <t>Menores pagos seguros anticipados</t>
  </si>
  <si>
    <t>Mayor provisión de deudores incobrables, menor provisión ingresos devengados, menores ventas ocasionales</t>
  </si>
  <si>
    <t>Mayores gastos anticipados</t>
  </si>
  <si>
    <t>Menor inversión en Activos Intangibles</t>
  </si>
  <si>
    <t>Mayor inversión en PPE</t>
  </si>
  <si>
    <t>Prepago o finiquito prestamos bancarios, menor AFR</t>
  </si>
  <si>
    <t>Mayor pago a proveedores de bienes y servicios</t>
  </si>
  <si>
    <t>Menor IVA, PPM y otros impuestos</t>
  </si>
  <si>
    <t>Colocacion Bono Suizo</t>
  </si>
  <si>
    <t>Pérdidas por deterioro de valor (reversiones de pérdidas por deterioro de valor) reconocidas en el resultado del periodo</t>
  </si>
  <si>
    <t>Plusvalia</t>
  </si>
  <si>
    <t>Otros pasivos financieros</t>
  </si>
  <si>
    <t>Capital Emitido</t>
  </si>
  <si>
    <t>Primas de emision</t>
  </si>
  <si>
    <t xml:space="preserve">Clases de cobros por actividades de operación </t>
  </si>
  <si>
    <t xml:space="preserve"> Flujos de efectivo procedentes de (utilizados en) actividades de financiación</t>
  </si>
  <si>
    <t>Dic-24</t>
  </si>
  <si>
    <t>Dic 24 -Dic 23</t>
  </si>
  <si>
    <t>2025 / 2024</t>
  </si>
  <si>
    <t>Cambiar cada trimestre</t>
  </si>
  <si>
    <t>Jun-24</t>
  </si>
  <si>
    <t>2T25 – 2T24</t>
  </si>
  <si>
    <t>Sep-25</t>
  </si>
  <si>
    <t>Sep-24</t>
  </si>
  <si>
    <t>30-09-2024</t>
  </si>
  <si>
    <t>Sep 25 -Sep 24</t>
  </si>
  <si>
    <t>Sep.25</t>
  </si>
  <si>
    <t>Sep.24</t>
  </si>
  <si>
    <t>3T25</t>
  </si>
  <si>
    <t>3T24</t>
  </si>
  <si>
    <t>Results</t>
  </si>
  <si>
    <t>Income Statement (Th CLP)</t>
  </si>
  <si>
    <t>(Th CLP)</t>
  </si>
  <si>
    <t>Operating Costs and Expenses</t>
  </si>
  <si>
    <t>Depreciation and Amortization</t>
  </si>
  <si>
    <t>Operating Income</t>
  </si>
  <si>
    <t>Other Gains</t>
  </si>
  <si>
    <t>Financial Result*</t>
  </si>
  <si>
    <t>Income Tax Expense</t>
  </si>
  <si>
    <t>Minority Interest</t>
  </si>
  <si>
    <t>Net Income</t>
  </si>
  <si>
    <t>Ordinary Revenue</t>
  </si>
  <si>
    <t>Revenue Analysis</t>
  </si>
  <si>
    <t>Drinking water</t>
  </si>
  <si>
    <t xml:space="preserve">Drinking water </t>
  </si>
  <si>
    <t>Wastewater</t>
  </si>
  <si>
    <t>Other sanitation revenue</t>
  </si>
  <si>
    <t>Non-sanitation revenue</t>
  </si>
  <si>
    <t>Sales volume (thousand m3)</t>
  </si>
  <si>
    <t>Difference</t>
  </si>
  <si>
    <t>Share</t>
  </si>
  <si>
    <t>Sales</t>
  </si>
  <si>
    <t>Th CLP</t>
  </si>
  <si>
    <t>Thousand CLP</t>
  </si>
  <si>
    <t>Wastewater Collection</t>
  </si>
  <si>
    <t>Wastewater Treatment and Disposal</t>
  </si>
  <si>
    <t>Interconnections*</t>
  </si>
  <si>
    <t>Customers</t>
  </si>
  <si>
    <t>Non-Sanitation Services</t>
  </si>
  <si>
    <t>Non-regulated Non-sanitation Products</t>
  </si>
  <si>
    <t>Drillings and Water Supply System Reinforcements</t>
  </si>
  <si>
    <t>Wastewater Networks Renewal</t>
  </si>
  <si>
    <t>Drinking Water Networks Renewal</t>
  </si>
  <si>
    <t>Other Investment Projects</t>
  </si>
  <si>
    <t>Service Connections and Meters</t>
  </si>
  <si>
    <t>Assets Management</t>
  </si>
  <si>
    <t xml:space="preserve"> La Farfana Biofactory Deodorización </t>
  </si>
  <si>
    <t xml:space="preserve">Replacement of Assets at La Farfana-Trebal Biofactories  </t>
  </si>
  <si>
    <t xml:space="preserve">Biological Treatment Expansion at Melipilla Wastewater Treatment Plant </t>
  </si>
  <si>
    <t>Hydraulic Efficiency Plan</t>
  </si>
  <si>
    <t>Improvements at Pomaire Wastewater Treatment Plant</t>
  </si>
  <si>
    <t>Antonio Varas - Lo Contador Tanks Repair</t>
  </si>
  <si>
    <t>Alto Lampa Drinking Water Treatment Plant Expansion and Arsenic Removal</t>
  </si>
  <si>
    <t>Financial Debt Th CLP</t>
  </si>
  <si>
    <t>Promissory Notes</t>
  </si>
  <si>
    <t>Bonds/Derivatives</t>
  </si>
  <si>
    <t>Loans</t>
  </si>
  <si>
    <t>Total Other Financial Liabilities</t>
  </si>
  <si>
    <t>Lease Liabilities</t>
  </si>
  <si>
    <t>Total lease liabilities</t>
  </si>
  <si>
    <t>Composition by instrument</t>
  </si>
  <si>
    <t>Composition by rates</t>
  </si>
  <si>
    <t>Bonds</t>
  </si>
  <si>
    <t>Fixxed</t>
  </si>
  <si>
    <t> Currency</t>
  </si>
  <si>
    <t>12 months</t>
  </si>
  <si>
    <t>1 to 3 years</t>
  </si>
  <si>
    <t>3 to 5 years</t>
  </si>
  <si>
    <t>more than 5 years</t>
  </si>
  <si>
    <t>Accounting balances</t>
  </si>
  <si>
    <t>Totals</t>
  </si>
  <si>
    <t>Current Assets</t>
  </si>
  <si>
    <t>Non-Current Assets</t>
  </si>
  <si>
    <t>Total Assets</t>
  </si>
  <si>
    <t>Liabilities and Equity</t>
  </si>
  <si>
    <t>Total Liabilities and Equity</t>
  </si>
  <si>
    <t>Current Liabilities</t>
  </si>
  <si>
    <t>Non-Current Liabilities</t>
  </si>
  <si>
    <t>Total Liabilities</t>
  </si>
  <si>
    <t>Equity Attributable to Owners of the Parent Company</t>
  </si>
  <si>
    <t>Non-controlling Interests</t>
  </si>
  <si>
    <t>Total Equity</t>
  </si>
  <si>
    <t xml:space="preserve">         Dec. 24</t>
  </si>
  <si>
    <t>Statements of Cash Flows (Th CLP)</t>
  </si>
  <si>
    <t>Operating Activities</t>
  </si>
  <si>
    <t>Investing Activities</t>
  </si>
  <si>
    <t>Financing Activities</t>
  </si>
  <si>
    <t>Net Cash Flow for the Period</t>
  </si>
  <si>
    <t>Ending Cash Balance</t>
  </si>
  <si>
    <t>times</t>
  </si>
  <si>
    <t>Investments (Thousand CLP)</t>
  </si>
  <si>
    <t>CLP</t>
  </si>
  <si>
    <t>Current Liquidity</t>
  </si>
  <si>
    <t>Quick Ratio</t>
  </si>
  <si>
    <t>Total Debt Level</t>
  </si>
  <si>
    <t>Debt Level</t>
  </si>
  <si>
    <t>Liquidity</t>
  </si>
  <si>
    <t>Current Debt</t>
  </si>
  <si>
    <t>Non-Current Debt</t>
  </si>
  <si>
    <t>Annualized Financial Expenses Coverage</t>
  </si>
  <si>
    <t>Profit</t>
  </si>
  <si>
    <t>Annualized Profit on Assets</t>
  </si>
  <si>
    <t>Return on Equity attributable to owners of the parent company, annualized</t>
  </si>
  <si>
    <t>Annualized Earnings per share</t>
  </si>
  <si>
    <t>Dividend Yield (*)</t>
  </si>
  <si>
    <t>Profit Attributable to Owners of the Parent Company</t>
  </si>
  <si>
    <t>Fiscal Year 2025</t>
  </si>
  <si>
    <t>Fiscal Year 2024</t>
  </si>
  <si>
    <t>Accum.sep 2025</t>
  </si>
  <si>
    <t>Accum.Junio 2010</t>
  </si>
  <si>
    <t>Accum.sep 2024</t>
  </si>
  <si>
    <t>Period sep 2025 - sep 2024</t>
  </si>
  <si>
    <t>Result Before Taxes and Interest</t>
  </si>
  <si>
    <t>Financial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</si>
</sst>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-* #,##0_-;\-* #,##0_-;_-* &quot;-&quot;??_-;_-@_-"/>
    <numFmt numFmtId="171" formatCode="#,##0;[Red]\(#,##0\)"/>
    <numFmt numFmtId="172" formatCode="##,##0.00;[Red]\(##,##0.00\)"/>
    <numFmt numFmtId="173" formatCode="#,##0.000;[Red]\(#,##0.000\)"/>
    <numFmt numFmtId="174" formatCode="#,##0.00;[Red]\(#,##0.00\)"/>
    <numFmt numFmtId="175" formatCode="#,##0.00;[Red]#,##0.00"/>
    <numFmt numFmtId="176" formatCode="#,##0.0;[Red]\(#,##0.0\)"/>
    <numFmt numFmtId="177" formatCode="_-* #,##0\ _P_t_s_-;\-* #,##0\ _P_t_s_-;_-* &quot;-&quot;??\ _P_t_s_-;_-@_-"/>
    <numFmt numFmtId="178" formatCode="_-* #,##0.000_-;\-* #,##0.000_-;_-* &quot;-&quot;??_-;_-@_-"/>
    <numFmt numFmtId="179" formatCode="_-* #,##0.000000_-;\-* #,##0.000000_-;_-* &quot;-&quot;??????_-;_-@_-"/>
    <numFmt numFmtId="180" formatCode="_-* #,##0.0000_-;\-* #,##0.0000_-;_-* &quot;-&quot;??_-;_-@_-"/>
    <numFmt numFmtId="181" formatCode="_-* #,##0.000\ _P_t_s_-;\-* #,##0.000\ _P_t_s_-;_-* &quot;-&quot;??\ _P_t_s_-;_-@_-"/>
    <numFmt numFmtId="182" formatCode="_-* #,##0.0000\ _P_t_s_-;\-* #,##0.0000\ _P_t_s_-;_-* &quot;-&quot;??\ _P_t_s_-;_-@_-"/>
    <numFmt numFmtId="183" formatCode="0.00000"/>
    <numFmt numFmtId="184" formatCode="0.0000"/>
    <numFmt numFmtId="185" formatCode="0.000"/>
    <numFmt numFmtId="186" formatCode="_-* #,##0.000_-;\-* #,##0.000_-;_-* &quot;-&quot;???_-;_-@_-"/>
    <numFmt numFmtId="187" formatCode="##,##0;\(##,##0\)"/>
    <numFmt numFmtId="188" formatCode="0.0000%"/>
    <numFmt numFmtId="189" formatCode="0.0%"/>
    <numFmt numFmtId="190" formatCode="#,##0;\(\ #,##0\)"/>
    <numFmt numFmtId="191" formatCode="#,##0;\(\ \ #,##0\)"/>
    <numFmt numFmtId="192" formatCode="dd\-mm\-yyyy"/>
    <numFmt numFmtId="193" formatCode="d\-m\-yyyy"/>
    <numFmt numFmtId="194" formatCode="_-* #,##0.00\ &quot;DM&quot;_-;\-* #,##0.00\ &quot;DM&quot;_-;_-* &quot;-&quot;??\ &quot;DM&quot;_-;_-@_-"/>
    <numFmt numFmtId="195" formatCode="_-* #,##0.00\ [$€]_-;\-* #,##0.00\ [$€]_-;_-* &quot;-&quot;??\ [$€]_-;_-@_-"/>
    <numFmt numFmtId="196" formatCode="_-* #,##0\ _D_M_-;\-* #,##0\ _D_M_-;_-* &quot;-&quot;\ _D_M_-;_-@_-"/>
    <numFmt numFmtId="197" formatCode="_-* #,##0.00\ _D_M_-;\-* #,##0.00\ _D_M_-;_-* &quot;-&quot;??\ _D_M_-;_-@_-"/>
    <numFmt numFmtId="198" formatCode="_-* #,##0\ &quot;DM&quot;_-;\-* #,##0\ &quot;DM&quot;_-;_-* &quot;-&quot;\ &quot;DM&quot;_-;_-@_-"/>
    <numFmt numFmtId="199" formatCode="_(* #,##0_);_(* \(#,##0\);_(* &quot;-&quot;??_);_(@_)"/>
    <numFmt numFmtId="200" formatCode="#,##0.000"/>
    <numFmt numFmtId="201" formatCode="#,##0_ ;\-#,##0\ "/>
    <numFmt numFmtId="202" formatCode="#,##0\ ;\(#,##0\);\-\ ;"/>
    <numFmt numFmtId="203" formatCode="0.0%_);\(0.0%\)"/>
    <numFmt numFmtId="204" formatCode="#,##0;\(#,##0\);\-"/>
    <numFmt numFmtId="205" formatCode="#,##0.000;\(#,##0.000\);\-"/>
    <numFmt numFmtId="206" formatCode="#,##0.0"/>
    <numFmt numFmtId="207" formatCode="0.000000%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  <font>
      <sz val="8"/>
      <name val="Arial"/>
      <family val="2"/>
    </font>
    <font>
      <sz val="9"/>
      <name val="Calibri Light"/>
      <family val="2"/>
    </font>
    <font>
      <b/>
      <u/>
      <sz val="9"/>
      <color rgb="FF44546A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1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9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0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1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12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8" fillId="3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9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6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7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15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8" fillId="7" borderId="0" applyNumberFormat="0" applyBorder="0" applyAlignment="0" applyProtection="0"/>
    <xf numFmtId="0" fontId="63" fillId="85" borderId="0" applyNumberFormat="0" applyBorder="0" applyAlignment="0" applyProtection="0"/>
    <xf numFmtId="0" fontId="64" fillId="85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6" borderId="0" applyNumberFormat="0" applyBorder="0" applyAlignment="0" applyProtection="0"/>
    <xf numFmtId="0" fontId="9" fillId="9" borderId="0" applyNumberFormat="0" applyBorder="0" applyAlignment="0" applyProtection="0"/>
    <xf numFmtId="0" fontId="65" fillId="87" borderId="0" applyNumberFormat="0" applyBorder="0" applyAlignment="0" applyProtection="0"/>
    <xf numFmtId="0" fontId="9" fillId="16" borderId="0" applyNumberFormat="0" applyBorder="0" applyAlignment="0" applyProtection="0"/>
    <xf numFmtId="0" fontId="65" fillId="88" borderId="0" applyNumberFormat="0" applyBorder="0" applyAlignment="0" applyProtection="0"/>
    <xf numFmtId="0" fontId="9" fillId="17" borderId="0" applyNumberFormat="0" applyBorder="0" applyAlignment="0" applyProtection="0"/>
    <xf numFmtId="0" fontId="65" fillId="89" borderId="0" applyNumberFormat="0" applyBorder="0" applyAlignment="0" applyProtection="0"/>
    <xf numFmtId="0" fontId="9" fillId="15" borderId="0" applyNumberFormat="0" applyBorder="0" applyAlignment="0" applyProtection="0"/>
    <xf numFmtId="0" fontId="65" fillId="90" borderId="0" applyNumberFormat="0" applyBorder="0" applyAlignment="0" applyProtection="0"/>
    <xf numFmtId="0" fontId="9" fillId="7" borderId="0" applyNumberFormat="0" applyBorder="0" applyAlignment="0" applyProtection="0"/>
    <xf numFmtId="0" fontId="65" fillId="91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95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7" fontId="4" fillId="0" borderId="0" applyFont="0" applyFill="0" applyBorder="0" applyAlignment="0" applyProtection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4" fillId="0" borderId="0" applyFont="0" applyFill="0" applyBorder="0" applyAlignment="0" applyProtection="0"/>
    <xf numFmtId="19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2" borderId="26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4" fillId="0" borderId="0"/>
    <xf numFmtId="165" fontId="3" fillId="0" borderId="0" applyFont="0" applyFill="0" applyBorder="0" applyAlignment="0" applyProtection="0"/>
    <xf numFmtId="41" fontId="8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8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1">
    <xf numFmtId="0" fontId="0" fillId="0" borderId="0" xfId="0"/>
    <xf numFmtId="3" fontId="71" fillId="0" borderId="0" xfId="0" applyNumberFormat="1" applyFont="1"/>
    <xf numFmtId="0" fontId="72" fillId="0" borderId="64" xfId="0" applyFont="1" applyBorder="1" applyAlignment="1">
      <alignment vertical="center"/>
    </xf>
    <xf numFmtId="0" fontId="73" fillId="0" borderId="40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37" xfId="0" applyFont="1" applyBorder="1" applyAlignment="1">
      <alignment horizontal="center" vertical="center"/>
    </xf>
    <xf numFmtId="0" fontId="74" fillId="0" borderId="0" xfId="0" applyFont="1"/>
    <xf numFmtId="202" fontId="73" fillId="0" borderId="0" xfId="0" applyNumberFormat="1" applyFont="1" applyAlignment="1">
      <alignment horizontal="right" vertical="center"/>
    </xf>
    <xf numFmtId="203" fontId="73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0" fontId="72" fillId="0" borderId="37" xfId="0" applyFont="1" applyBorder="1" applyAlignment="1">
      <alignment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/>
    <xf numFmtId="3" fontId="73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202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202" fontId="75" fillId="0" borderId="0" xfId="0" applyNumberFormat="1" applyFont="1"/>
    <xf numFmtId="0" fontId="76" fillId="0" borderId="0" xfId="1698" applyFont="1" applyAlignment="1">
      <alignment horizontal="left" indent="2"/>
    </xf>
    <xf numFmtId="0" fontId="74" fillId="0" borderId="0" xfId="1698" applyFont="1"/>
    <xf numFmtId="0" fontId="74" fillId="0" borderId="0" xfId="1698" applyFont="1" applyAlignment="1">
      <alignment vertical="center"/>
    </xf>
    <xf numFmtId="3" fontId="74" fillId="0" borderId="0" xfId="1698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72" fillId="0" borderId="37" xfId="0" applyFont="1" applyBorder="1" applyAlignment="1">
      <alignment horizontal="left"/>
    </xf>
    <xf numFmtId="0" fontId="72" fillId="0" borderId="37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0" fontId="72" fillId="0" borderId="40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9" fontId="74" fillId="0" borderId="0" xfId="950" applyFont="1"/>
    <xf numFmtId="9" fontId="75" fillId="0" borderId="0" xfId="950" applyFont="1"/>
    <xf numFmtId="203" fontId="73" fillId="0" borderId="0" xfId="0" applyNumberFormat="1" applyFont="1" applyAlignment="1">
      <alignment horizontal="center" vertical="center"/>
    </xf>
    <xf numFmtId="0" fontId="72" fillId="0" borderId="37" xfId="0" applyFont="1" applyBorder="1"/>
    <xf numFmtId="187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 wrapText="1"/>
    </xf>
    <xf numFmtId="0" fontId="81" fillId="0" borderId="64" xfId="0" applyFont="1" applyBorder="1" applyAlignment="1">
      <alignment vertical="center"/>
    </xf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14" fontId="85" fillId="73" borderId="50" xfId="904" applyNumberFormat="1" applyFont="1" applyFill="1" applyBorder="1" applyAlignment="1">
      <alignment horizontal="center" vertical="center"/>
    </xf>
    <xf numFmtId="14" fontId="85" fillId="73" borderId="51" xfId="904" applyNumberFormat="1" applyFont="1" applyFill="1" applyBorder="1" applyAlignment="1">
      <alignment horizontal="center" vertical="center"/>
    </xf>
    <xf numFmtId="204" fontId="85" fillId="73" borderId="56" xfId="904" applyNumberFormat="1" applyFont="1" applyFill="1" applyBorder="1" applyAlignment="1">
      <alignment horizontal="center" vertical="top"/>
    </xf>
    <xf numFmtId="204" fontId="86" fillId="0" borderId="1" xfId="904" quotePrefix="1" applyNumberFormat="1" applyFont="1" applyBorder="1" applyAlignment="1">
      <alignment horizontal="center" vertical="center"/>
    </xf>
    <xf numFmtId="204" fontId="86" fillId="0" borderId="1" xfId="904" applyNumberFormat="1" applyFont="1" applyBorder="1" applyAlignment="1">
      <alignment vertical="center"/>
    </xf>
    <xf numFmtId="204" fontId="86" fillId="0" borderId="46" xfId="904" applyNumberFormat="1" applyFont="1" applyBorder="1" applyAlignment="1">
      <alignment vertical="center"/>
    </xf>
    <xf numFmtId="204" fontId="86" fillId="0" borderId="1" xfId="904" applyNumberFormat="1" applyFont="1" applyBorder="1" applyAlignment="1">
      <alignment horizontal="center" vertical="center"/>
    </xf>
    <xf numFmtId="204" fontId="85" fillId="73" borderId="55" xfId="904" applyNumberFormat="1" applyFont="1" applyFill="1" applyBorder="1" applyAlignment="1">
      <alignment horizontal="left" vertical="center" wrapText="1"/>
    </xf>
    <xf numFmtId="204" fontId="85" fillId="96" borderId="55" xfId="904" applyNumberFormat="1" applyFont="1" applyFill="1" applyBorder="1" applyAlignment="1">
      <alignment horizontal="left" vertical="center"/>
    </xf>
    <xf numFmtId="204" fontId="85" fillId="0" borderId="1" xfId="904" applyNumberFormat="1" applyFont="1" applyBorder="1" applyAlignment="1">
      <alignment horizontal="center" vertical="center"/>
    </xf>
    <xf numFmtId="204" fontId="85" fillId="73" borderId="47" xfId="904" applyNumberFormat="1" applyFont="1" applyFill="1" applyBorder="1" applyAlignment="1">
      <alignment horizontal="center" vertical="center"/>
    </xf>
    <xf numFmtId="204" fontId="85" fillId="0" borderId="59" xfId="904" applyNumberFormat="1" applyFont="1" applyBorder="1" applyAlignment="1">
      <alignment vertical="center"/>
    </xf>
    <xf numFmtId="204" fontId="86" fillId="0" borderId="55" xfId="904" applyNumberFormat="1" applyFont="1" applyBorder="1" applyAlignment="1">
      <alignment horizontal="left" vertical="center"/>
    </xf>
    <xf numFmtId="204" fontId="86" fillId="73" borderId="1" xfId="904" applyNumberFormat="1" applyFont="1" applyFill="1" applyBorder="1" applyAlignment="1">
      <alignment horizontal="center" vertical="center"/>
    </xf>
    <xf numFmtId="204" fontId="86" fillId="0" borderId="55" xfId="904" applyNumberFormat="1" applyFont="1" applyBorder="1" applyAlignment="1">
      <alignment vertical="center"/>
    </xf>
    <xf numFmtId="49" fontId="86" fillId="0" borderId="1" xfId="904" applyNumberFormat="1" applyFont="1" applyBorder="1" applyAlignment="1">
      <alignment horizontal="center" vertical="center"/>
    </xf>
    <xf numFmtId="0" fontId="86" fillId="0" borderId="55" xfId="904" applyFont="1" applyBorder="1" applyAlignment="1">
      <alignment vertical="center"/>
    </xf>
    <xf numFmtId="3" fontId="86" fillId="0" borderId="1" xfId="904" applyNumberFormat="1" applyFont="1" applyBorder="1" applyAlignment="1">
      <alignment vertical="center"/>
    </xf>
    <xf numFmtId="0" fontId="85" fillId="73" borderId="55" xfId="904" applyFont="1" applyFill="1" applyBorder="1" applyAlignment="1">
      <alignment vertical="center"/>
    </xf>
    <xf numFmtId="0" fontId="85" fillId="73" borderId="1" xfId="904" applyFont="1" applyFill="1" applyBorder="1" applyAlignment="1">
      <alignment horizontal="center" vertical="center"/>
    </xf>
    <xf numFmtId="3" fontId="85" fillId="73" borderId="1" xfId="904" applyNumberFormat="1" applyFont="1" applyFill="1" applyBorder="1" applyAlignment="1">
      <alignment vertical="center"/>
    </xf>
    <xf numFmtId="0" fontId="85" fillId="73" borderId="1" xfId="904" applyFont="1" applyFill="1" applyBorder="1" applyAlignment="1">
      <alignment horizontal="left" vertical="center" indent="3"/>
    </xf>
    <xf numFmtId="0" fontId="86" fillId="0" borderId="1" xfId="904" applyFont="1" applyBorder="1" applyAlignment="1">
      <alignment horizontal="center" vertical="center"/>
    </xf>
    <xf numFmtId="0" fontId="85" fillId="0" borderId="55" xfId="904" applyFont="1" applyBorder="1" applyAlignment="1">
      <alignment vertical="center" wrapText="1"/>
    </xf>
    <xf numFmtId="0" fontId="86" fillId="0" borderId="1" xfId="904" applyFont="1" applyBorder="1" applyAlignment="1">
      <alignment horizontal="left" vertical="center" indent="3"/>
    </xf>
    <xf numFmtId="3" fontId="86" fillId="0" borderId="1" xfId="904" applyNumberFormat="1" applyFont="1" applyBorder="1" applyAlignment="1">
      <alignment horizontal="center" vertical="center"/>
    </xf>
    <xf numFmtId="0" fontId="85" fillId="73" borderId="55" xfId="904" applyFont="1" applyFill="1" applyBorder="1" applyAlignment="1">
      <alignment vertical="center" wrapText="1"/>
    </xf>
    <xf numFmtId="3" fontId="85" fillId="98" borderId="1" xfId="904" applyNumberFormat="1" applyFont="1" applyFill="1" applyBorder="1" applyAlignment="1">
      <alignment vertical="center"/>
    </xf>
    <xf numFmtId="0" fontId="85" fillId="98" borderId="55" xfId="904" applyFont="1" applyFill="1" applyBorder="1" applyAlignment="1">
      <alignment vertical="center"/>
    </xf>
    <xf numFmtId="0" fontId="85" fillId="98" borderId="1" xfId="904" applyFont="1" applyFill="1" applyBorder="1" applyAlignment="1">
      <alignment horizontal="left" vertical="center" indent="3"/>
    </xf>
    <xf numFmtId="0" fontId="85" fillId="0" borderId="55" xfId="904" applyFont="1" applyBorder="1" applyAlignment="1">
      <alignment vertical="center"/>
    </xf>
    <xf numFmtId="3" fontId="86" fillId="0" borderId="0" xfId="904" applyNumberFormat="1" applyFont="1"/>
    <xf numFmtId="0" fontId="86" fillId="0" borderId="0" xfId="904" applyFont="1"/>
    <xf numFmtId="0" fontId="85" fillId="73" borderId="58" xfId="904" applyFont="1" applyFill="1" applyBorder="1" applyAlignment="1">
      <alignment vertical="center"/>
    </xf>
    <xf numFmtId="0" fontId="86" fillId="73" borderId="47" xfId="904" applyFont="1" applyFill="1" applyBorder="1" applyAlignment="1">
      <alignment horizontal="center" vertical="center"/>
    </xf>
    <xf numFmtId="200" fontId="85" fillId="73" borderId="47" xfId="904" applyNumberFormat="1" applyFont="1" applyFill="1" applyBorder="1" applyAlignment="1">
      <alignment vertical="center"/>
    </xf>
    <xf numFmtId="204" fontId="86" fillId="0" borderId="42" xfId="0" applyNumberFormat="1" applyFont="1" applyBorder="1" applyAlignment="1">
      <alignment horizontal="left" vertical="center" wrapText="1"/>
    </xf>
    <xf numFmtId="204" fontId="86" fillId="0" borderId="43" xfId="0" applyNumberFormat="1" applyFont="1" applyBorder="1" applyAlignment="1">
      <alignment horizontal="center" vertical="center" wrapText="1"/>
    </xf>
    <xf numFmtId="204" fontId="85" fillId="0" borderId="42" xfId="0" applyNumberFormat="1" applyFont="1" applyBorder="1" applyAlignment="1">
      <alignment horizontal="left" vertical="center" wrapText="1"/>
    </xf>
    <xf numFmtId="204" fontId="85" fillId="0" borderId="43" xfId="0" applyNumberFormat="1" applyFont="1" applyBorder="1" applyAlignment="1">
      <alignment horizontal="center" vertical="center" wrapText="1"/>
    </xf>
    <xf numFmtId="0" fontId="86" fillId="0" borderId="0" xfId="903" applyFont="1"/>
    <xf numFmtId="0" fontId="86" fillId="0" borderId="0" xfId="0" applyFont="1"/>
    <xf numFmtId="0" fontId="85" fillId="97" borderId="41" xfId="0" applyFont="1" applyFill="1" applyBorder="1" applyAlignment="1">
      <alignment horizontal="center" vertical="center"/>
    </xf>
    <xf numFmtId="0" fontId="85" fillId="97" borderId="45" xfId="0" applyFont="1" applyFill="1" applyBorder="1" applyAlignment="1">
      <alignment horizontal="center" vertical="center"/>
    </xf>
    <xf numFmtId="0" fontId="86" fillId="0" borderId="43" xfId="0" applyFont="1" applyBorder="1" applyAlignment="1">
      <alignment horizontal="center" vertical="center" wrapText="1"/>
    </xf>
    <xf numFmtId="3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86" fillId="0" borderId="42" xfId="0" applyFont="1" applyBorder="1" applyAlignment="1">
      <alignment horizontal="left" vertical="center" wrapText="1"/>
    </xf>
    <xf numFmtId="0" fontId="85" fillId="96" borderId="42" xfId="0" applyFont="1" applyFill="1" applyBorder="1" applyAlignment="1">
      <alignment horizontal="left" vertical="center" wrapText="1"/>
    </xf>
    <xf numFmtId="0" fontId="86" fillId="96" borderId="43" xfId="0" applyFont="1" applyFill="1" applyBorder="1" applyAlignment="1">
      <alignment horizontal="center" vertical="center" wrapText="1"/>
    </xf>
    <xf numFmtId="0" fontId="85" fillId="96" borderId="43" xfId="0" applyFont="1" applyFill="1" applyBorder="1" applyAlignment="1">
      <alignment horizontal="center" vertical="center" wrapText="1"/>
    </xf>
    <xf numFmtId="0" fontId="85" fillId="96" borderId="42" xfId="0" applyFont="1" applyFill="1" applyBorder="1" applyAlignment="1">
      <alignment vertical="center" wrapText="1"/>
    </xf>
    <xf numFmtId="0" fontId="86" fillId="96" borderId="42" xfId="0" applyFont="1" applyFill="1" applyBorder="1" applyAlignment="1">
      <alignment horizontal="left" vertical="center" wrapText="1"/>
    </xf>
    <xf numFmtId="3" fontId="70" fillId="0" borderId="0" xfId="0" applyNumberFormat="1" applyFont="1" applyAlignment="1">
      <alignment wrapText="1"/>
    </xf>
    <xf numFmtId="0" fontId="85" fillId="96" borderId="52" xfId="0" applyFont="1" applyFill="1" applyBorder="1" applyAlignment="1">
      <alignment horizontal="left" vertical="center" wrapText="1"/>
    </xf>
    <xf numFmtId="0" fontId="85" fillId="96" borderId="49" xfId="0" applyFont="1" applyFill="1" applyBorder="1" applyAlignment="1">
      <alignment horizontal="center" vertical="center" wrapText="1"/>
    </xf>
    <xf numFmtId="0" fontId="86" fillId="0" borderId="0" xfId="903" applyFont="1" applyAlignment="1">
      <alignment horizontal="center"/>
    </xf>
    <xf numFmtId="0" fontId="85" fillId="0" borderId="0" xfId="904" applyFont="1"/>
    <xf numFmtId="3" fontId="86" fillId="0" borderId="0" xfId="903" applyNumberFormat="1" applyFont="1"/>
    <xf numFmtId="192" fontId="85" fillId="0" borderId="0" xfId="904" applyNumberFormat="1" applyFont="1" applyAlignment="1">
      <alignment horizontal="center" vertical="center"/>
    </xf>
    <xf numFmtId="0" fontId="86" fillId="0" borderId="0" xfId="904" applyFont="1" applyAlignment="1">
      <alignment vertical="center"/>
    </xf>
    <xf numFmtId="3" fontId="86" fillId="0" borderId="0" xfId="904" applyNumberFormat="1" applyFont="1" applyAlignment="1">
      <alignment vertical="center"/>
    </xf>
    <xf numFmtId="3" fontId="85" fillId="0" borderId="0" xfId="904" applyNumberFormat="1" applyFont="1" applyAlignment="1">
      <alignment vertical="center"/>
    </xf>
    <xf numFmtId="3" fontId="85" fillId="0" borderId="0" xfId="904" applyNumberFormat="1" applyFont="1" applyAlignment="1">
      <alignment horizontal="right" vertical="center"/>
    </xf>
    <xf numFmtId="3" fontId="86" fillId="0" borderId="0" xfId="0" applyNumberFormat="1" applyFont="1" applyAlignment="1">
      <alignment vertical="center"/>
    </xf>
    <xf numFmtId="0" fontId="90" fillId="0" borderId="0" xfId="0" applyFont="1"/>
    <xf numFmtId="0" fontId="91" fillId="0" borderId="0" xfId="0" applyFont="1"/>
    <xf numFmtId="0" fontId="92" fillId="0" borderId="0" xfId="0" applyFont="1"/>
    <xf numFmtId="185" fontId="91" fillId="0" borderId="0" xfId="0" applyNumberFormat="1" applyFont="1"/>
    <xf numFmtId="179" fontId="91" fillId="0" borderId="0" xfId="0" applyNumberFormat="1" applyFont="1"/>
    <xf numFmtId="171" fontId="91" fillId="0" borderId="0" xfId="0" applyNumberFormat="1" applyFont="1"/>
    <xf numFmtId="170" fontId="91" fillId="0" borderId="0" xfId="836" quotePrefix="1" applyNumberFormat="1" applyFont="1" applyBorder="1" applyAlignment="1">
      <alignment horizontal="center"/>
    </xf>
    <xf numFmtId="0" fontId="93" fillId="93" borderId="27" xfId="0" applyFont="1" applyFill="1" applyBorder="1"/>
    <xf numFmtId="0" fontId="94" fillId="93" borderId="28" xfId="0" applyFont="1" applyFill="1" applyBorder="1"/>
    <xf numFmtId="49" fontId="93" fillId="93" borderId="28" xfId="836" applyNumberFormat="1" applyFont="1" applyFill="1" applyBorder="1" applyAlignment="1">
      <alignment horizontal="center"/>
    </xf>
    <xf numFmtId="170" fontId="90" fillId="0" borderId="0" xfId="836" quotePrefix="1" applyNumberFormat="1" applyFont="1" applyFill="1" applyAlignment="1">
      <alignment horizontal="center"/>
    </xf>
    <xf numFmtId="170" fontId="90" fillId="0" borderId="0" xfId="836" quotePrefix="1" applyNumberFormat="1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14" fontId="91" fillId="0" borderId="0" xfId="0" applyNumberFormat="1" applyFont="1" applyAlignment="1">
      <alignment horizontal="center"/>
    </xf>
    <xf numFmtId="0" fontId="90" fillId="0" borderId="30" xfId="0" applyFont="1" applyBorder="1"/>
    <xf numFmtId="0" fontId="91" fillId="0" borderId="31" xfId="0" applyFont="1" applyBorder="1"/>
    <xf numFmtId="0" fontId="91" fillId="0" borderId="62" xfId="0" applyFont="1" applyBorder="1"/>
    <xf numFmtId="0" fontId="91" fillId="0" borderId="32" xfId="0" applyFont="1" applyBorder="1"/>
    <xf numFmtId="0" fontId="90" fillId="0" borderId="24" xfId="0" applyFont="1" applyBorder="1"/>
    <xf numFmtId="184" fontId="92" fillId="0" borderId="0" xfId="0" applyNumberFormat="1" applyFont="1"/>
    <xf numFmtId="0" fontId="91" fillId="0" borderId="30" xfId="0" applyFont="1" applyBorder="1"/>
    <xf numFmtId="0" fontId="91" fillId="0" borderId="31" xfId="0" applyFont="1" applyBorder="1" applyAlignment="1">
      <alignment horizontal="center"/>
    </xf>
    <xf numFmtId="170" fontId="91" fillId="0" borderId="31" xfId="836" applyNumberFormat="1" applyFont="1" applyBorder="1"/>
    <xf numFmtId="170" fontId="91" fillId="0" borderId="62" xfId="836" applyNumberFormat="1" applyFont="1" applyBorder="1"/>
    <xf numFmtId="180" fontId="91" fillId="0" borderId="0" xfId="836" applyNumberFormat="1" applyFont="1"/>
    <xf numFmtId="0" fontId="91" fillId="0" borderId="25" xfId="0" applyFont="1" applyBorder="1"/>
    <xf numFmtId="171" fontId="91" fillId="0" borderId="25" xfId="0" applyNumberFormat="1" applyFont="1" applyBorder="1"/>
    <xf numFmtId="2" fontId="95" fillId="0" borderId="0" xfId="0" applyNumberFormat="1" applyFont="1"/>
    <xf numFmtId="2" fontId="90" fillId="0" borderId="0" xfId="0" applyNumberFormat="1" applyFont="1"/>
    <xf numFmtId="189" fontId="91" fillId="0" borderId="0" xfId="950" applyNumberFormat="1" applyFont="1"/>
    <xf numFmtId="189" fontId="92" fillId="0" borderId="0" xfId="950" applyNumberFormat="1" applyFont="1" applyFill="1" applyBorder="1"/>
    <xf numFmtId="0" fontId="93" fillId="93" borderId="30" xfId="0" applyFont="1" applyFill="1" applyBorder="1"/>
    <xf numFmtId="0" fontId="94" fillId="93" borderId="31" xfId="0" applyFont="1" applyFill="1" applyBorder="1"/>
    <xf numFmtId="170" fontId="93" fillId="93" borderId="31" xfId="836" applyNumberFormat="1" applyFont="1" applyFill="1" applyBorder="1"/>
    <xf numFmtId="170" fontId="93" fillId="93" borderId="62" xfId="836" applyNumberFormat="1" applyFont="1" applyFill="1" applyBorder="1"/>
    <xf numFmtId="170" fontId="91" fillId="0" borderId="0" xfId="836" applyNumberFormat="1" applyFont="1"/>
    <xf numFmtId="170" fontId="90" fillId="0" borderId="0" xfId="836" applyNumberFormat="1" applyFont="1"/>
    <xf numFmtId="2" fontId="91" fillId="0" borderId="0" xfId="0" applyNumberFormat="1" applyFont="1"/>
    <xf numFmtId="0" fontId="93" fillId="93" borderId="33" xfId="0" applyFont="1" applyFill="1" applyBorder="1"/>
    <xf numFmtId="0" fontId="94" fillId="93" borderId="34" xfId="0" applyFont="1" applyFill="1" applyBorder="1"/>
    <xf numFmtId="170" fontId="93" fillId="93" borderId="34" xfId="836" applyNumberFormat="1" applyFont="1" applyFill="1" applyBorder="1"/>
    <xf numFmtId="170" fontId="93" fillId="93" borderId="63" xfId="836" applyNumberFormat="1" applyFont="1" applyFill="1" applyBorder="1"/>
    <xf numFmtId="2" fontId="95" fillId="0" borderId="0" xfId="950" applyNumberFormat="1" applyFont="1" applyFill="1"/>
    <xf numFmtId="10" fontId="90" fillId="0" borderId="0" xfId="0" applyNumberFormat="1" applyFont="1"/>
    <xf numFmtId="0" fontId="91" fillId="0" borderId="36" xfId="0" applyFont="1" applyBorder="1"/>
    <xf numFmtId="201" fontId="71" fillId="0" borderId="0" xfId="836" applyNumberFormat="1" applyFont="1" applyBorder="1"/>
    <xf numFmtId="49" fontId="93" fillId="93" borderId="28" xfId="836" quotePrefix="1" applyNumberFormat="1" applyFont="1" applyFill="1" applyBorder="1" applyAlignment="1">
      <alignment horizontal="center"/>
    </xf>
    <xf numFmtId="0" fontId="90" fillId="0" borderId="31" xfId="0" applyFont="1" applyBorder="1" applyAlignment="1">
      <alignment horizontal="center"/>
    </xf>
    <xf numFmtId="187" fontId="91" fillId="0" borderId="31" xfId="836" applyNumberFormat="1" applyFont="1" applyFill="1" applyBorder="1"/>
    <xf numFmtId="187" fontId="91" fillId="0" borderId="32" xfId="836" applyNumberFormat="1" applyFont="1" applyFill="1" applyBorder="1"/>
    <xf numFmtId="0" fontId="96" fillId="0" borderId="0" xfId="0" applyFont="1"/>
    <xf numFmtId="170" fontId="92" fillId="0" borderId="0" xfId="0" applyNumberFormat="1" applyFont="1"/>
    <xf numFmtId="187" fontId="90" fillId="0" borderId="31" xfId="836" applyNumberFormat="1" applyFont="1" applyFill="1" applyBorder="1"/>
    <xf numFmtId="177" fontId="92" fillId="0" borderId="0" xfId="836" applyNumberFormat="1" applyFont="1" applyFill="1" applyBorder="1"/>
    <xf numFmtId="172" fontId="90" fillId="0" borderId="0" xfId="0" applyNumberFormat="1" applyFont="1"/>
    <xf numFmtId="174" fontId="91" fillId="0" borderId="0" xfId="0" applyNumberFormat="1" applyFont="1"/>
    <xf numFmtId="189" fontId="91" fillId="0" borderId="0" xfId="950" applyNumberFormat="1" applyFont="1" applyFill="1" applyBorder="1"/>
    <xf numFmtId="0" fontId="91" fillId="0" borderId="33" xfId="0" applyFont="1" applyBorder="1"/>
    <xf numFmtId="0" fontId="91" fillId="0" borderId="34" xfId="0" applyFont="1" applyBorder="1" applyAlignment="1">
      <alignment horizontal="center"/>
    </xf>
    <xf numFmtId="187" fontId="91" fillId="0" borderId="34" xfId="836" applyNumberFormat="1" applyFont="1" applyFill="1" applyBorder="1"/>
    <xf numFmtId="0" fontId="97" fillId="0" borderId="24" xfId="0" applyFont="1" applyBorder="1"/>
    <xf numFmtId="0" fontId="98" fillId="0" borderId="0" xfId="0" applyFont="1"/>
    <xf numFmtId="171" fontId="98" fillId="0" borderId="0" xfId="0" applyNumberFormat="1" applyFont="1"/>
    <xf numFmtId="170" fontId="98" fillId="0" borderId="0" xfId="836" applyNumberFormat="1" applyFont="1"/>
    <xf numFmtId="187" fontId="91" fillId="0" borderId="0" xfId="836" applyNumberFormat="1" applyFont="1" applyBorder="1"/>
    <xf numFmtId="189" fontId="91" fillId="0" borderId="0" xfId="950" applyNumberFormat="1" applyFont="1" applyBorder="1"/>
    <xf numFmtId="190" fontId="98" fillId="0" borderId="0" xfId="0" applyNumberFormat="1" applyFont="1"/>
    <xf numFmtId="177" fontId="91" fillId="0" borderId="0" xfId="836" applyNumberFormat="1" applyFont="1"/>
    <xf numFmtId="187" fontId="91" fillId="0" borderId="31" xfId="836" applyNumberFormat="1" applyFont="1" applyBorder="1"/>
    <xf numFmtId="183" fontId="91" fillId="0" borderId="0" xfId="0" applyNumberFormat="1" applyFont="1"/>
    <xf numFmtId="188" fontId="91" fillId="0" borderId="0" xfId="950" applyNumberFormat="1" applyFont="1"/>
    <xf numFmtId="175" fontId="90" fillId="0" borderId="0" xfId="0" applyNumberFormat="1" applyFont="1"/>
    <xf numFmtId="187" fontId="90" fillId="0" borderId="31" xfId="836" applyNumberFormat="1" applyFont="1" applyBorder="1"/>
    <xf numFmtId="0" fontId="97" fillId="0" borderId="0" xfId="0" applyFont="1"/>
    <xf numFmtId="171" fontId="97" fillId="0" borderId="0" xfId="0" applyNumberFormat="1" applyFont="1"/>
    <xf numFmtId="2" fontId="98" fillId="0" borderId="0" xfId="0" applyNumberFormat="1" applyFont="1"/>
    <xf numFmtId="10" fontId="98" fillId="0" borderId="0" xfId="950" applyNumberFormat="1" applyFont="1"/>
    <xf numFmtId="0" fontId="94" fillId="93" borderId="34" xfId="0" applyFont="1" applyFill="1" applyBorder="1" applyAlignment="1">
      <alignment horizontal="center"/>
    </xf>
    <xf numFmtId="187" fontId="93" fillId="93" borderId="34" xfId="836" applyNumberFormat="1" applyFont="1" applyFill="1" applyBorder="1"/>
    <xf numFmtId="187" fontId="93" fillId="93" borderId="35" xfId="836" applyNumberFormat="1" applyFont="1" applyFill="1" applyBorder="1"/>
    <xf numFmtId="174" fontId="90" fillId="0" borderId="0" xfId="0" applyNumberFormat="1" applyFont="1"/>
    <xf numFmtId="2" fontId="98" fillId="0" borderId="0" xfId="950" applyNumberFormat="1" applyFont="1" applyFill="1"/>
    <xf numFmtId="10" fontId="98" fillId="0" borderId="0" xfId="950" applyNumberFormat="1" applyFont="1" applyFill="1" applyBorder="1"/>
    <xf numFmtId="0" fontId="91" fillId="94" borderId="27" xfId="0" applyFont="1" applyFill="1" applyBorder="1"/>
    <xf numFmtId="0" fontId="91" fillId="94" borderId="30" xfId="0" applyFont="1" applyFill="1" applyBorder="1"/>
    <xf numFmtId="49" fontId="91" fillId="94" borderId="31" xfId="836" applyNumberFormat="1" applyFont="1" applyFill="1" applyBorder="1" applyAlignment="1">
      <alignment horizontal="left"/>
    </xf>
    <xf numFmtId="170" fontId="91" fillId="94" borderId="32" xfId="836" applyNumberFormat="1" applyFont="1" applyFill="1" applyBorder="1"/>
    <xf numFmtId="171" fontId="90" fillId="0" borderId="0" xfId="0" applyNumberFormat="1" applyFont="1"/>
    <xf numFmtId="187" fontId="91" fillId="94" borderId="32" xfId="836" applyNumberFormat="1" applyFont="1" applyFill="1" applyBorder="1"/>
    <xf numFmtId="10" fontId="91" fillId="0" borderId="0" xfId="950" applyNumberFormat="1" applyFont="1" applyFill="1"/>
    <xf numFmtId="0" fontId="91" fillId="94" borderId="33" xfId="0" applyFont="1" applyFill="1" applyBorder="1"/>
    <xf numFmtId="49" fontId="91" fillId="94" borderId="34" xfId="836" applyNumberFormat="1" applyFont="1" applyFill="1" applyBorder="1" applyAlignment="1">
      <alignment horizontal="left"/>
    </xf>
    <xf numFmtId="187" fontId="91" fillId="94" borderId="35" xfId="836" applyNumberFormat="1" applyFont="1" applyFill="1" applyBorder="1"/>
    <xf numFmtId="10" fontId="91" fillId="0" borderId="0" xfId="950" applyNumberFormat="1" applyFont="1"/>
    <xf numFmtId="10" fontId="92" fillId="0" borderId="0" xfId="0" applyNumberFormat="1" applyFont="1"/>
    <xf numFmtId="170" fontId="91" fillId="0" borderId="0" xfId="0" applyNumberFormat="1" applyFont="1"/>
    <xf numFmtId="171" fontId="92" fillId="0" borderId="0" xfId="0" applyNumberFormat="1" applyFont="1"/>
    <xf numFmtId="184" fontId="90" fillId="0" borderId="0" xfId="0" applyNumberFormat="1" applyFont="1"/>
    <xf numFmtId="171" fontId="91" fillId="95" borderId="0" xfId="0" applyNumberFormat="1" applyFont="1" applyFill="1"/>
    <xf numFmtId="170" fontId="91" fillId="0" borderId="0" xfId="828" applyNumberFormat="1" applyFont="1"/>
    <xf numFmtId="177" fontId="91" fillId="0" borderId="0" xfId="836" applyNumberFormat="1" applyFont="1" applyFill="1"/>
    <xf numFmtId="173" fontId="91" fillId="0" borderId="25" xfId="0" applyNumberFormat="1" applyFont="1" applyBorder="1"/>
    <xf numFmtId="178" fontId="91" fillId="0" borderId="25" xfId="836" applyNumberFormat="1" applyFont="1" applyBorder="1"/>
    <xf numFmtId="191" fontId="91" fillId="0" borderId="0" xfId="0" applyNumberFormat="1" applyFont="1"/>
    <xf numFmtId="4" fontId="91" fillId="95" borderId="0" xfId="0" applyNumberFormat="1" applyFont="1" applyFill="1"/>
    <xf numFmtId="173" fontId="91" fillId="0" borderId="0" xfId="0" applyNumberFormat="1" applyFont="1"/>
    <xf numFmtId="186" fontId="91" fillId="0" borderId="0" xfId="0" applyNumberFormat="1" applyFont="1"/>
    <xf numFmtId="10" fontId="99" fillId="0" borderId="0" xfId="0" applyNumberFormat="1" applyFont="1"/>
    <xf numFmtId="0" fontId="100" fillId="0" borderId="0" xfId="0" applyFont="1"/>
    <xf numFmtId="0" fontId="101" fillId="0" borderId="0" xfId="0" applyFont="1"/>
    <xf numFmtId="171" fontId="101" fillId="0" borderId="0" xfId="0" applyNumberFormat="1" applyFont="1"/>
    <xf numFmtId="170" fontId="91" fillId="0" borderId="0" xfId="836" applyNumberFormat="1" applyFont="1" applyFill="1" applyBorder="1"/>
    <xf numFmtId="181" fontId="92" fillId="0" borderId="0" xfId="0" applyNumberFormat="1" applyFont="1"/>
    <xf numFmtId="170" fontId="91" fillId="0" borderId="0" xfId="836" applyNumberFormat="1" applyFont="1" applyBorder="1"/>
    <xf numFmtId="2" fontId="101" fillId="0" borderId="0" xfId="0" applyNumberFormat="1" applyFont="1"/>
    <xf numFmtId="10" fontId="91" fillId="0" borderId="0" xfId="950" applyNumberFormat="1" applyFont="1" applyBorder="1"/>
    <xf numFmtId="10" fontId="92" fillId="0" borderId="0" xfId="950" applyNumberFormat="1" applyFont="1" applyFill="1" applyBorder="1"/>
    <xf numFmtId="10" fontId="101" fillId="0" borderId="0" xfId="0" applyNumberFormat="1" applyFont="1"/>
    <xf numFmtId="0" fontId="101" fillId="0" borderId="0" xfId="0" quotePrefix="1" applyFont="1"/>
    <xf numFmtId="176" fontId="90" fillId="0" borderId="0" xfId="0" applyNumberFormat="1" applyFont="1"/>
    <xf numFmtId="182" fontId="91" fillId="0" borderId="0" xfId="0" applyNumberFormat="1" applyFont="1"/>
    <xf numFmtId="10" fontId="91" fillId="0" borderId="0" xfId="0" applyNumberFormat="1" applyFont="1"/>
    <xf numFmtId="199" fontId="91" fillId="0" borderId="0" xfId="828" applyNumberFormat="1" applyFont="1"/>
    <xf numFmtId="4" fontId="91" fillId="0" borderId="0" xfId="0" applyNumberFormat="1" applyFont="1"/>
    <xf numFmtId="0" fontId="103" fillId="0" borderId="0" xfId="1704"/>
    <xf numFmtId="0" fontId="81" fillId="0" borderId="37" xfId="0" applyFont="1" applyBorder="1" applyAlignment="1">
      <alignment horizontal="center"/>
    </xf>
    <xf numFmtId="204" fontId="72" fillId="0" borderId="0" xfId="0" applyNumberFormat="1" applyFont="1" applyAlignment="1">
      <alignment horizontal="right" vertical="center"/>
    </xf>
    <xf numFmtId="204" fontId="73" fillId="0" borderId="0" xfId="0" applyNumberFormat="1" applyFont="1" applyAlignment="1">
      <alignment horizontal="right" vertical="center"/>
    </xf>
    <xf numFmtId="0" fontId="85" fillId="0" borderId="42" xfId="0" applyFont="1" applyBorder="1" applyAlignment="1">
      <alignment horizontal="left" vertical="center" wrapText="1"/>
    </xf>
    <xf numFmtId="192" fontId="85" fillId="73" borderId="70" xfId="904" applyNumberFormat="1" applyFont="1" applyFill="1" applyBorder="1" applyAlignment="1">
      <alignment horizontal="center" vertical="center"/>
    </xf>
    <xf numFmtId="204" fontId="86" fillId="0" borderId="0" xfId="0" applyNumberFormat="1" applyFont="1" applyAlignment="1">
      <alignment wrapText="1"/>
    </xf>
    <xf numFmtId="204" fontId="91" fillId="0" borderId="55" xfId="904" applyNumberFormat="1" applyFont="1" applyBorder="1" applyAlignment="1">
      <alignment vertical="center"/>
    </xf>
    <xf numFmtId="205" fontId="86" fillId="0" borderId="1" xfId="904" applyNumberFormat="1" applyFont="1" applyBorder="1" applyAlignment="1">
      <alignment vertical="center"/>
    </xf>
    <xf numFmtId="0" fontId="91" fillId="0" borderId="42" xfId="877" applyFont="1" applyBorder="1" applyAlignment="1">
      <alignment horizontal="left" vertical="center" wrapText="1"/>
    </xf>
    <xf numFmtId="202" fontId="104" fillId="0" borderId="0" xfId="0" applyNumberFormat="1" applyFont="1"/>
    <xf numFmtId="166" fontId="86" fillId="0" borderId="0" xfId="903" applyNumberFormat="1" applyFont="1" applyAlignment="1">
      <alignment vertical="center"/>
    </xf>
    <xf numFmtId="166" fontId="88" fillId="100" borderId="71" xfId="904" applyNumberFormat="1" applyFont="1" applyFill="1" applyBorder="1" applyAlignment="1">
      <alignment vertical="center"/>
    </xf>
    <xf numFmtId="166" fontId="87" fillId="100" borderId="71" xfId="904" applyNumberFormat="1" applyFont="1" applyFill="1" applyBorder="1" applyAlignment="1">
      <alignment vertical="center"/>
    </xf>
    <xf numFmtId="166" fontId="88" fillId="100" borderId="71" xfId="903" applyNumberFormat="1" applyFont="1" applyFill="1" applyBorder="1" applyAlignment="1">
      <alignment vertical="center"/>
    </xf>
    <xf numFmtId="203" fontId="88" fillId="0" borderId="0" xfId="950" applyNumberFormat="1" applyFont="1" applyFill="1" applyBorder="1" applyAlignment="1">
      <alignment vertical="center"/>
    </xf>
    <xf numFmtId="166" fontId="86" fillId="0" borderId="1" xfId="904" applyNumberFormat="1" applyFont="1" applyBorder="1" applyAlignment="1">
      <alignment vertical="center"/>
    </xf>
    <xf numFmtId="166" fontId="86" fillId="0" borderId="46" xfId="904" applyNumberFormat="1" applyFont="1" applyBorder="1" applyAlignment="1">
      <alignment vertical="center"/>
    </xf>
    <xf numFmtId="166" fontId="85" fillId="73" borderId="1" xfId="904" applyNumberFormat="1" applyFont="1" applyFill="1" applyBorder="1" applyAlignment="1">
      <alignment vertical="center"/>
    </xf>
    <xf numFmtId="166" fontId="85" fillId="73" borderId="46" xfId="904" applyNumberFormat="1" applyFont="1" applyFill="1" applyBorder="1" applyAlignment="1">
      <alignment vertical="center"/>
    </xf>
    <xf numFmtId="166" fontId="85" fillId="73" borderId="1" xfId="904" applyNumberFormat="1" applyFont="1" applyFill="1" applyBorder="1" applyAlignment="1">
      <alignment horizontal="right" vertical="center"/>
    </xf>
    <xf numFmtId="166" fontId="85" fillId="73" borderId="46" xfId="904" applyNumberFormat="1" applyFont="1" applyFill="1" applyBorder="1" applyAlignment="1">
      <alignment horizontal="right" vertical="center"/>
    </xf>
    <xf numFmtId="166" fontId="85" fillId="0" borderId="1" xfId="904" applyNumberFormat="1" applyFont="1" applyBorder="1" applyAlignment="1">
      <alignment vertical="center"/>
    </xf>
    <xf numFmtId="166" fontId="85" fillId="0" borderId="46" xfId="904" applyNumberFormat="1" applyFont="1" applyBorder="1" applyAlignment="1">
      <alignment vertical="center"/>
    </xf>
    <xf numFmtId="166" fontId="85" fillId="73" borderId="47" xfId="904" applyNumberFormat="1" applyFont="1" applyFill="1" applyBorder="1" applyAlignment="1">
      <alignment vertical="center"/>
    </xf>
    <xf numFmtId="166" fontId="85" fillId="73" borderId="48" xfId="904" applyNumberFormat="1" applyFont="1" applyFill="1" applyBorder="1" applyAlignment="1">
      <alignment vertical="center"/>
    </xf>
    <xf numFmtId="166" fontId="85" fillId="0" borderId="59" xfId="904" applyNumberFormat="1" applyFont="1" applyBorder="1" applyAlignment="1">
      <alignment vertical="center"/>
    </xf>
    <xf numFmtId="166" fontId="85" fillId="0" borderId="65" xfId="904" applyNumberFormat="1" applyFont="1" applyBorder="1" applyAlignment="1">
      <alignment vertical="center"/>
    </xf>
    <xf numFmtId="166" fontId="86" fillId="0" borderId="0" xfId="903" applyNumberFormat="1" applyFont="1"/>
    <xf numFmtId="203" fontId="88" fillId="0" borderId="0" xfId="903" applyNumberFormat="1" applyFont="1" applyAlignment="1">
      <alignment vertical="center"/>
    </xf>
    <xf numFmtId="203" fontId="88" fillId="0" borderId="0" xfId="903" applyNumberFormat="1" applyFont="1" applyAlignment="1">
      <alignment horizontal="center" vertical="center"/>
    </xf>
    <xf numFmtId="166" fontId="87" fillId="100" borderId="81" xfId="904" applyNumberFormat="1" applyFont="1" applyFill="1" applyBorder="1" applyAlignment="1">
      <alignment horizontal="center" vertical="center"/>
    </xf>
    <xf numFmtId="203" fontId="87" fillId="100" borderId="82" xfId="904" applyNumberFormat="1" applyFont="1" applyFill="1" applyBorder="1" applyAlignment="1">
      <alignment horizontal="center" vertical="center"/>
    </xf>
    <xf numFmtId="203" fontId="88" fillId="100" borderId="72" xfId="950" applyNumberFormat="1" applyFont="1" applyFill="1" applyBorder="1" applyAlignment="1">
      <alignment vertical="center"/>
    </xf>
    <xf numFmtId="166" fontId="87" fillId="100" borderId="75" xfId="904" applyNumberFormat="1" applyFont="1" applyFill="1" applyBorder="1" applyAlignment="1">
      <alignment vertical="center"/>
    </xf>
    <xf numFmtId="203" fontId="87" fillId="100" borderId="76" xfId="950" applyNumberFormat="1" applyFont="1" applyFill="1" applyBorder="1" applyAlignment="1">
      <alignment vertical="center"/>
    </xf>
    <xf numFmtId="203" fontId="88" fillId="100" borderId="72" xfId="904" applyNumberFormat="1" applyFont="1" applyFill="1" applyBorder="1" applyAlignment="1">
      <alignment vertical="center"/>
    </xf>
    <xf numFmtId="166" fontId="88" fillId="100" borderId="73" xfId="904" applyNumberFormat="1" applyFont="1" applyFill="1" applyBorder="1" applyAlignment="1">
      <alignment vertical="center"/>
    </xf>
    <xf numFmtId="203" fontId="88" fillId="100" borderId="74" xfId="904" applyNumberFormat="1" applyFont="1" applyFill="1" applyBorder="1" applyAlignment="1">
      <alignment vertical="center"/>
    </xf>
    <xf numFmtId="203" fontId="87" fillId="100" borderId="76" xfId="904" applyNumberFormat="1" applyFont="1" applyFill="1" applyBorder="1" applyAlignment="1">
      <alignment vertical="center"/>
    </xf>
    <xf numFmtId="166" fontId="87" fillId="100" borderId="77" xfId="904" applyNumberFormat="1" applyFont="1" applyFill="1" applyBorder="1" applyAlignment="1">
      <alignment horizontal="center" vertical="center"/>
    </xf>
    <xf numFmtId="203" fontId="87" fillId="100" borderId="78" xfId="0" applyNumberFormat="1" applyFont="1" applyFill="1" applyBorder="1" applyAlignment="1">
      <alignment horizontal="center" vertical="center"/>
    </xf>
    <xf numFmtId="203" fontId="88" fillId="100" borderId="72" xfId="0" applyNumberFormat="1" applyFont="1" applyFill="1" applyBorder="1" applyAlignment="1">
      <alignment horizontal="center" vertical="center" wrapText="1"/>
    </xf>
    <xf numFmtId="203" fontId="88" fillId="100" borderId="72" xfId="1700" applyNumberFormat="1" applyFont="1" applyFill="1" applyBorder="1" applyAlignment="1">
      <alignment horizontal="center" vertical="center" wrapText="1"/>
    </xf>
    <xf numFmtId="203" fontId="87" fillId="100" borderId="72" xfId="0" applyNumberFormat="1" applyFont="1" applyFill="1" applyBorder="1" applyAlignment="1">
      <alignment horizontal="center" vertical="center" wrapText="1"/>
    </xf>
    <xf numFmtId="203" fontId="87" fillId="100" borderId="76" xfId="0" applyNumberFormat="1" applyFont="1" applyFill="1" applyBorder="1" applyAlignment="1">
      <alignment horizontal="center" vertical="center" wrapText="1"/>
    </xf>
    <xf numFmtId="203" fontId="87" fillId="100" borderId="72" xfId="1700" applyNumberFormat="1" applyFont="1" applyFill="1" applyBorder="1" applyAlignment="1">
      <alignment horizontal="center" vertical="center" wrapText="1"/>
    </xf>
    <xf numFmtId="204" fontId="85" fillId="96" borderId="55" xfId="904" applyNumberFormat="1" applyFont="1" applyFill="1" applyBorder="1" applyAlignment="1">
      <alignment vertical="center"/>
    </xf>
    <xf numFmtId="204" fontId="85" fillId="96" borderId="1" xfId="904" applyNumberFormat="1" applyFont="1" applyFill="1" applyBorder="1" applyAlignment="1">
      <alignment vertical="center"/>
    </xf>
    <xf numFmtId="166" fontId="86" fillId="0" borderId="43" xfId="0" applyNumberFormat="1" applyFont="1" applyBorder="1" applyAlignment="1">
      <alignment horizontal="right" vertical="center" wrapText="1"/>
    </xf>
    <xf numFmtId="166" fontId="85" fillId="0" borderId="43" xfId="0" applyNumberFormat="1" applyFont="1" applyBorder="1" applyAlignment="1">
      <alignment horizontal="right" vertical="center" wrapText="1"/>
    </xf>
    <xf numFmtId="166" fontId="85" fillId="96" borderId="43" xfId="0" applyNumberFormat="1" applyFont="1" applyFill="1" applyBorder="1" applyAlignment="1">
      <alignment horizontal="right" vertical="center" wrapText="1"/>
    </xf>
    <xf numFmtId="166" fontId="85" fillId="96" borderId="43" xfId="0" applyNumberFormat="1" applyFont="1" applyFill="1" applyBorder="1" applyAlignment="1">
      <alignment vertical="center" wrapText="1"/>
    </xf>
    <xf numFmtId="166" fontId="86" fillId="96" borderId="43" xfId="0" applyNumberFormat="1" applyFont="1" applyFill="1" applyBorder="1" applyAlignment="1">
      <alignment horizontal="right" vertical="center" wrapText="1"/>
    </xf>
    <xf numFmtId="166" fontId="70" fillId="0" borderId="0" xfId="903" applyNumberFormat="1" applyFont="1"/>
    <xf numFmtId="49" fontId="91" fillId="94" borderId="28" xfId="836" applyNumberFormat="1" applyFont="1" applyFill="1" applyBorder="1" applyAlignment="1">
      <alignment horizontal="center"/>
    </xf>
    <xf numFmtId="0" fontId="81" fillId="0" borderId="64" xfId="0" applyFont="1" applyBorder="1" applyAlignment="1">
      <alignment horizontal="right" vertical="center"/>
    </xf>
    <xf numFmtId="0" fontId="81" fillId="0" borderId="64" xfId="0" applyFont="1" applyBorder="1" applyAlignment="1">
      <alignment horizontal="center" vertical="center"/>
    </xf>
    <xf numFmtId="166" fontId="78" fillId="0" borderId="0" xfId="1700" applyFont="1" applyAlignment="1">
      <alignment horizontal="right" vertical="center"/>
    </xf>
    <xf numFmtId="166" fontId="81" fillId="0" borderId="0" xfId="1700" applyFont="1" applyAlignment="1">
      <alignment horizontal="right" vertical="center"/>
    </xf>
    <xf numFmtId="166" fontId="91" fillId="99" borderId="0" xfId="1700" applyFont="1" applyFill="1"/>
    <xf numFmtId="3" fontId="91" fillId="0" borderId="0" xfId="0" applyNumberFormat="1" applyFont="1"/>
    <xf numFmtId="3" fontId="90" fillId="0" borderId="0" xfId="0" applyNumberFormat="1" applyFont="1"/>
    <xf numFmtId="10" fontId="90" fillId="0" borderId="0" xfId="1699" applyNumberFormat="1" applyFont="1"/>
    <xf numFmtId="166" fontId="70" fillId="0" borderId="0" xfId="1700" applyFont="1"/>
    <xf numFmtId="203" fontId="87" fillId="0" borderId="0" xfId="903" applyNumberFormat="1" applyFont="1" applyAlignment="1">
      <alignment horizontal="center" vertical="center"/>
    </xf>
    <xf numFmtId="3" fontId="87" fillId="0" borderId="0" xfId="904" applyNumberFormat="1" applyFont="1" applyAlignment="1">
      <alignment horizontal="center" vertical="center"/>
    </xf>
    <xf numFmtId="203" fontId="87" fillId="0" borderId="0" xfId="904" applyNumberFormat="1" applyFont="1" applyAlignment="1">
      <alignment horizontal="center" vertical="center"/>
    </xf>
    <xf numFmtId="203" fontId="88" fillId="0" borderId="0" xfId="904" applyNumberFormat="1" applyFont="1" applyAlignment="1">
      <alignment vertical="center"/>
    </xf>
    <xf numFmtId="203" fontId="87" fillId="0" borderId="0" xfId="904" applyNumberFormat="1" applyFont="1" applyAlignment="1">
      <alignment vertical="center"/>
    </xf>
    <xf numFmtId="0" fontId="78" fillId="0" borderId="0" xfId="0" applyFont="1" applyAlignment="1">
      <alignment horizontal="right"/>
    </xf>
    <xf numFmtId="166" fontId="73" fillId="0" borderId="0" xfId="0" applyNumberFormat="1" applyFont="1" applyAlignment="1">
      <alignment vertical="center"/>
    </xf>
    <xf numFmtId="166" fontId="74" fillId="0" borderId="0" xfId="0" applyNumberFormat="1" applyFont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166" fontId="72" fillId="0" borderId="0" xfId="1700" applyFont="1" applyAlignment="1">
      <alignment horizontal="right" vertical="center"/>
    </xf>
    <xf numFmtId="203" fontId="72" fillId="0" borderId="0" xfId="0" applyNumberFormat="1" applyFont="1" applyAlignment="1">
      <alignment horizontal="center" vertical="center"/>
    </xf>
    <xf numFmtId="166" fontId="90" fillId="0" borderId="0" xfId="0" applyNumberFormat="1" applyFont="1" applyAlignment="1">
      <alignment horizontal="center"/>
    </xf>
    <xf numFmtId="166" fontId="91" fillId="0" borderId="0" xfId="0" applyNumberFormat="1" applyFont="1"/>
    <xf numFmtId="166" fontId="91" fillId="0" borderId="25" xfId="0" applyNumberFormat="1" applyFont="1" applyBorder="1"/>
    <xf numFmtId="166" fontId="90" fillId="0" borderId="0" xfId="0" applyNumberFormat="1" applyFont="1"/>
    <xf numFmtId="0" fontId="94" fillId="0" borderId="0" xfId="0" applyFont="1"/>
    <xf numFmtId="166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66" fontId="91" fillId="0" borderId="0" xfId="1700" applyFont="1"/>
    <xf numFmtId="0" fontId="85" fillId="99" borderId="0" xfId="0" applyFont="1" applyFill="1"/>
    <xf numFmtId="0" fontId="86" fillId="101" borderId="0" xfId="0" applyFont="1" applyFill="1" applyAlignment="1">
      <alignment wrapText="1"/>
    </xf>
    <xf numFmtId="204" fontId="86" fillId="101" borderId="0" xfId="0" applyNumberFormat="1" applyFont="1" applyFill="1" applyAlignment="1">
      <alignment wrapText="1"/>
    </xf>
    <xf numFmtId="166" fontId="86" fillId="0" borderId="0" xfId="0" applyNumberFormat="1" applyFont="1" applyAlignment="1">
      <alignment wrapText="1"/>
    </xf>
    <xf numFmtId="0" fontId="72" fillId="0" borderId="64" xfId="0" applyFont="1" applyBorder="1" applyAlignment="1">
      <alignment horizontal="center" vertical="center"/>
    </xf>
    <xf numFmtId="206" fontId="73" fillId="0" borderId="0" xfId="0" applyNumberFormat="1" applyFont="1"/>
    <xf numFmtId="166" fontId="88" fillId="101" borderId="71" xfId="904" applyNumberFormat="1" applyFont="1" applyFill="1" applyBorder="1" applyAlignment="1">
      <alignment vertical="center"/>
    </xf>
    <xf numFmtId="14" fontId="90" fillId="73" borderId="87" xfId="904" applyNumberFormat="1" applyFont="1" applyFill="1" applyBorder="1" applyAlignment="1">
      <alignment horizontal="center" vertical="center"/>
    </xf>
    <xf numFmtId="10" fontId="72" fillId="0" borderId="0" xfId="950" applyNumberFormat="1" applyFont="1"/>
    <xf numFmtId="10" fontId="82" fillId="0" borderId="0" xfId="950" applyNumberFormat="1" applyFont="1" applyFill="1"/>
    <xf numFmtId="10" fontId="74" fillId="0" borderId="0" xfId="0" applyNumberFormat="1" applyFont="1"/>
    <xf numFmtId="10" fontId="83" fillId="0" borderId="0" xfId="950" applyNumberFormat="1" applyFont="1" applyFill="1"/>
    <xf numFmtId="166" fontId="74" fillId="0" borderId="0" xfId="0" applyNumberFormat="1" applyFont="1" applyAlignment="1">
      <alignment vertical="center"/>
    </xf>
    <xf numFmtId="203" fontId="74" fillId="0" borderId="0" xfId="0" applyNumberFormat="1" applyFont="1" applyAlignment="1">
      <alignment vertical="center"/>
    </xf>
    <xf numFmtId="203" fontId="73" fillId="0" borderId="0" xfId="0" applyNumberFormat="1" applyFont="1" applyAlignment="1">
      <alignment vertical="center"/>
    </xf>
    <xf numFmtId="166" fontId="74" fillId="0" borderId="0" xfId="1700" applyFont="1"/>
    <xf numFmtId="0" fontId="74" fillId="102" borderId="0" xfId="0" applyFont="1" applyFill="1"/>
    <xf numFmtId="0" fontId="74" fillId="102" borderId="0" xfId="0" applyFont="1" applyFill="1" applyAlignment="1">
      <alignment vertical="center"/>
    </xf>
    <xf numFmtId="0" fontId="91" fillId="0" borderId="88" xfId="0" applyFont="1" applyBorder="1"/>
    <xf numFmtId="0" fontId="94" fillId="93" borderId="89" xfId="0" applyFont="1" applyFill="1" applyBorder="1"/>
    <xf numFmtId="184" fontId="93" fillId="93" borderId="90" xfId="0" applyNumberFormat="1" applyFont="1" applyFill="1" applyBorder="1"/>
    <xf numFmtId="49" fontId="93" fillId="93" borderId="91" xfId="836" applyNumberFormat="1" applyFont="1" applyFill="1" applyBorder="1" applyAlignment="1">
      <alignment horizontal="left"/>
    </xf>
    <xf numFmtId="184" fontId="93" fillId="93" borderId="93" xfId="0" applyNumberFormat="1" applyFont="1" applyFill="1" applyBorder="1"/>
    <xf numFmtId="0" fontId="93" fillId="93" borderId="94" xfId="0" applyFont="1" applyFill="1" applyBorder="1"/>
    <xf numFmtId="49" fontId="93" fillId="93" borderId="95" xfId="836" quotePrefix="1" applyNumberFormat="1" applyFont="1" applyFill="1" applyBorder="1" applyAlignment="1">
      <alignment horizontal="center"/>
    </xf>
    <xf numFmtId="0" fontId="91" fillId="0" borderId="97" xfId="0" applyFont="1" applyBorder="1"/>
    <xf numFmtId="0" fontId="90" fillId="0" borderId="97" xfId="0" applyFont="1" applyBorder="1"/>
    <xf numFmtId="0" fontId="102" fillId="0" borderId="97" xfId="0" applyFont="1" applyBorder="1"/>
    <xf numFmtId="0" fontId="90" fillId="0" borderId="99" xfId="0" applyFont="1" applyBorder="1"/>
    <xf numFmtId="187" fontId="90" fillId="0" borderId="100" xfId="836" applyNumberFormat="1" applyFont="1" applyFill="1" applyBorder="1"/>
    <xf numFmtId="187" fontId="80" fillId="0" borderId="31" xfId="836" applyNumberFormat="1" applyFont="1" applyFill="1" applyBorder="1"/>
    <xf numFmtId="166" fontId="74" fillId="0" borderId="0" xfId="1700" applyFont="1" applyAlignment="1">
      <alignment vertical="center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81" fillId="0" borderId="0" xfId="0" applyFont="1" applyAlignment="1">
      <alignment horizontal="center" vertical="center"/>
    </xf>
    <xf numFmtId="189" fontId="78" fillId="0" borderId="0" xfId="0" applyNumberFormat="1" applyFont="1" applyAlignment="1">
      <alignment horizontal="right" vertical="center"/>
    </xf>
    <xf numFmtId="3" fontId="78" fillId="0" borderId="39" xfId="0" applyNumberFormat="1" applyFont="1" applyBorder="1" applyAlignment="1">
      <alignment horizontal="right" vertical="center"/>
    </xf>
    <xf numFmtId="189" fontId="78" fillId="0" borderId="39" xfId="0" applyNumberFormat="1" applyFont="1" applyBorder="1" applyAlignment="1">
      <alignment horizontal="right" vertical="center"/>
    </xf>
    <xf numFmtId="189" fontId="81" fillId="0" borderId="0" xfId="0" applyNumberFormat="1" applyFont="1" applyAlignment="1">
      <alignment horizontal="right" vertical="center"/>
    </xf>
    <xf numFmtId="166" fontId="70" fillId="0" borderId="0" xfId="1700" applyFont="1" applyFill="1" applyAlignment="1">
      <alignment vertical="center"/>
    </xf>
    <xf numFmtId="166" fontId="74" fillId="0" borderId="0" xfId="1700" applyFont="1" applyFill="1" applyAlignment="1">
      <alignment vertical="center"/>
    </xf>
    <xf numFmtId="3" fontId="72" fillId="102" borderId="0" xfId="0" applyNumberFormat="1" applyFont="1" applyFill="1"/>
    <xf numFmtId="3" fontId="74" fillId="102" borderId="0" xfId="0" applyNumberFormat="1" applyFont="1" applyFill="1"/>
    <xf numFmtId="14" fontId="106" fillId="73" borderId="87" xfId="904" applyNumberFormat="1" applyFont="1" applyFill="1" applyBorder="1" applyAlignment="1">
      <alignment horizontal="center" vertical="center" wrapText="1"/>
    </xf>
    <xf numFmtId="204" fontId="107" fillId="73" borderId="102" xfId="904" applyNumberFormat="1" applyFont="1" applyFill="1" applyBorder="1" applyAlignment="1">
      <alignment horizontal="center" vertical="top"/>
    </xf>
    <xf numFmtId="204" fontId="107" fillId="73" borderId="57" xfId="904" applyNumberFormat="1" applyFont="1" applyFill="1" applyBorder="1" applyAlignment="1">
      <alignment horizontal="center" vertical="top"/>
    </xf>
    <xf numFmtId="166" fontId="71" fillId="0" borderId="0" xfId="1700" applyFont="1"/>
    <xf numFmtId="10" fontId="91" fillId="0" borderId="0" xfId="1699" applyNumberFormat="1" applyFont="1"/>
    <xf numFmtId="188" fontId="74" fillId="0" borderId="0" xfId="0" applyNumberFormat="1" applyFont="1"/>
    <xf numFmtId="204" fontId="85" fillId="73" borderId="55" xfId="904" applyNumberFormat="1" applyFont="1" applyFill="1" applyBorder="1" applyAlignment="1">
      <alignment horizontal="left" vertical="center"/>
    </xf>
    <xf numFmtId="204" fontId="85" fillId="73" borderId="1" xfId="904" applyNumberFormat="1" applyFont="1" applyFill="1" applyBorder="1" applyAlignment="1">
      <alignment horizontal="center" vertical="center"/>
    </xf>
    <xf numFmtId="0" fontId="86" fillId="0" borderId="0" xfId="903" applyFont="1" applyAlignment="1">
      <alignment vertical="center"/>
    </xf>
    <xf numFmtId="3" fontId="86" fillId="0" borderId="0" xfId="903" applyNumberFormat="1" applyFont="1" applyAlignment="1">
      <alignment vertical="center"/>
    </xf>
    <xf numFmtId="0" fontId="85" fillId="0" borderId="0" xfId="904" applyFont="1" applyAlignment="1">
      <alignment vertical="center"/>
    </xf>
    <xf numFmtId="204" fontId="85" fillId="73" borderId="56" xfId="904" applyNumberFormat="1" applyFont="1" applyFill="1" applyBorder="1" applyAlignment="1">
      <alignment horizontal="center" vertical="center"/>
    </xf>
    <xf numFmtId="204" fontId="85" fillId="73" borderId="57" xfId="904" applyNumberFormat="1" applyFont="1" applyFill="1" applyBorder="1" applyAlignment="1">
      <alignment horizontal="center" vertical="center"/>
    </xf>
    <xf numFmtId="193" fontId="85" fillId="0" borderId="0" xfId="904" applyNumberFormat="1" applyFont="1" applyAlignment="1">
      <alignment horizontal="center" vertical="center"/>
    </xf>
    <xf numFmtId="204" fontId="85" fillId="0" borderId="55" xfId="904" applyNumberFormat="1" applyFont="1" applyBorder="1" applyAlignment="1">
      <alignment horizontal="left" vertical="center"/>
    </xf>
    <xf numFmtId="0" fontId="89" fillId="0" borderId="0" xfId="904" applyFont="1" applyAlignment="1">
      <alignment vertical="center"/>
    </xf>
    <xf numFmtId="204" fontId="85" fillId="73" borderId="58" xfId="904" applyNumberFormat="1" applyFont="1" applyFill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204" fontId="85" fillId="0" borderId="1" xfId="904" applyNumberFormat="1" applyFont="1" applyBorder="1" applyAlignment="1">
      <alignment horizontal="left" vertical="center"/>
    </xf>
    <xf numFmtId="204" fontId="85" fillId="73" borderId="1" xfId="904" applyNumberFormat="1" applyFont="1" applyFill="1" applyBorder="1" applyAlignment="1">
      <alignment horizontal="left" vertical="center"/>
    </xf>
    <xf numFmtId="204" fontId="79" fillId="0" borderId="55" xfId="904" applyNumberFormat="1" applyFont="1" applyBorder="1" applyAlignment="1">
      <alignment horizontal="left" vertical="center"/>
    </xf>
    <xf numFmtId="204" fontId="85" fillId="0" borderId="55" xfId="904" applyNumberFormat="1" applyFont="1" applyBorder="1" applyAlignment="1">
      <alignment horizontal="left" vertical="center" wrapText="1"/>
    </xf>
    <xf numFmtId="204" fontId="85" fillId="73" borderId="47" xfId="904" applyNumberFormat="1" applyFont="1" applyFill="1" applyBorder="1" applyAlignment="1">
      <alignment horizontal="left" vertical="center"/>
    </xf>
    <xf numFmtId="3" fontId="105" fillId="0" borderId="0" xfId="903" applyNumberFormat="1" applyFont="1" applyAlignment="1">
      <alignment vertical="center"/>
    </xf>
    <xf numFmtId="166" fontId="105" fillId="0" borderId="0" xfId="1700" applyFont="1" applyFill="1" applyBorder="1" applyAlignment="1">
      <alignment vertical="center"/>
    </xf>
    <xf numFmtId="3" fontId="108" fillId="0" borderId="0" xfId="878" applyNumberFormat="1" applyFont="1" applyAlignment="1">
      <alignment horizontal="right"/>
    </xf>
    <xf numFmtId="3" fontId="86" fillId="101" borderId="0" xfId="904" applyNumberFormat="1" applyFont="1" applyFill="1" applyAlignment="1">
      <alignment vertical="center"/>
    </xf>
    <xf numFmtId="207" fontId="82" fillId="0" borderId="0" xfId="950" applyNumberFormat="1" applyFont="1" applyFill="1"/>
    <xf numFmtId="166" fontId="81" fillId="0" borderId="0" xfId="1700" applyFont="1" applyFill="1" applyAlignment="1">
      <alignment horizontal="right" vertical="center"/>
    </xf>
    <xf numFmtId="166" fontId="78" fillId="0" borderId="0" xfId="1700" applyFont="1" applyFill="1" applyAlignment="1">
      <alignment horizontal="right" vertical="center"/>
    </xf>
    <xf numFmtId="166" fontId="72" fillId="0" borderId="0" xfId="0" applyNumberFormat="1" applyFont="1" applyAlignment="1">
      <alignment vertical="center"/>
    </xf>
    <xf numFmtId="203" fontId="72" fillId="0" borderId="0" xfId="0" applyNumberFormat="1" applyFont="1" applyAlignment="1">
      <alignment vertical="center"/>
    </xf>
    <xf numFmtId="187" fontId="91" fillId="103" borderId="32" xfId="836" applyNumberFormat="1" applyFont="1" applyFill="1" applyBorder="1"/>
    <xf numFmtId="187" fontId="90" fillId="103" borderId="32" xfId="836" applyNumberFormat="1" applyFont="1" applyFill="1" applyBorder="1"/>
    <xf numFmtId="187" fontId="91" fillId="103" borderId="44" xfId="836" applyNumberFormat="1" applyFont="1" applyFill="1" applyBorder="1"/>
    <xf numFmtId="49" fontId="91" fillId="94" borderId="31" xfId="836" applyNumberFormat="1" applyFont="1" applyFill="1" applyBorder="1" applyAlignment="1">
      <alignment horizontal="center"/>
    </xf>
    <xf numFmtId="170" fontId="91" fillId="103" borderId="32" xfId="836" applyNumberFormat="1" applyFont="1" applyFill="1" applyBorder="1"/>
    <xf numFmtId="187" fontId="91" fillId="103" borderId="98" xfId="836" applyNumberFormat="1" applyFont="1" applyFill="1" applyBorder="1"/>
    <xf numFmtId="187" fontId="90" fillId="103" borderId="98" xfId="836" applyNumberFormat="1" applyFont="1" applyFill="1" applyBorder="1"/>
    <xf numFmtId="187" fontId="80" fillId="103" borderId="98" xfId="836" applyNumberFormat="1" applyFont="1" applyFill="1" applyBorder="1"/>
    <xf numFmtId="187" fontId="90" fillId="103" borderId="101" xfId="836" applyNumberFormat="1" applyFont="1" applyFill="1" applyBorder="1"/>
    <xf numFmtId="170" fontId="93" fillId="103" borderId="32" xfId="836" applyNumberFormat="1" applyFont="1" applyFill="1" applyBorder="1"/>
    <xf numFmtId="170" fontId="93" fillId="103" borderId="35" xfId="836" applyNumberFormat="1" applyFont="1" applyFill="1" applyBorder="1"/>
    <xf numFmtId="187" fontId="73" fillId="0" borderId="0" xfId="0" applyNumberFormat="1" applyFont="1" applyAlignment="1">
      <alignment vertical="center"/>
    </xf>
    <xf numFmtId="0" fontId="86" fillId="101" borderId="55" xfId="904" applyFont="1" applyFill="1" applyBorder="1" applyAlignment="1">
      <alignment vertical="center"/>
    </xf>
    <xf numFmtId="204" fontId="86" fillId="101" borderId="1" xfId="904" applyNumberFormat="1" applyFont="1" applyFill="1" applyBorder="1" applyAlignment="1">
      <alignment horizontal="center" vertical="center"/>
    </xf>
    <xf numFmtId="204" fontId="86" fillId="101" borderId="1" xfId="904" applyNumberFormat="1" applyFont="1" applyFill="1" applyBorder="1" applyAlignment="1">
      <alignment vertical="center"/>
    </xf>
    <xf numFmtId="3" fontId="78" fillId="0" borderId="0" xfId="0" applyNumberFormat="1" applyFont="1"/>
    <xf numFmtId="3" fontId="75" fillId="0" borderId="0" xfId="0" applyNumberFormat="1" applyFont="1"/>
    <xf numFmtId="170" fontId="91" fillId="101" borderId="32" xfId="836" applyNumberFormat="1" applyFont="1" applyFill="1" applyBorder="1"/>
    <xf numFmtId="170" fontId="91" fillId="101" borderId="29" xfId="836" applyNumberFormat="1" applyFont="1" applyFill="1" applyBorder="1"/>
    <xf numFmtId="167" fontId="93" fillId="93" borderId="28" xfId="828" quotePrefix="1" applyFont="1" applyFill="1" applyBorder="1" applyAlignment="1">
      <alignment horizontal="center"/>
    </xf>
    <xf numFmtId="49" fontId="93" fillId="93" borderId="96" xfId="836" quotePrefix="1" applyNumberFormat="1" applyFont="1" applyFill="1" applyBorder="1" applyAlignment="1">
      <alignment horizontal="center"/>
    </xf>
    <xf numFmtId="3" fontId="110" fillId="0" borderId="0" xfId="0" applyNumberFormat="1" applyFont="1"/>
    <xf numFmtId="49" fontId="93" fillId="93" borderId="95" xfId="836" applyNumberFormat="1" applyFont="1" applyFill="1" applyBorder="1" applyAlignment="1">
      <alignment horizontal="center"/>
    </xf>
    <xf numFmtId="49" fontId="93" fillId="93" borderId="96" xfId="836" applyNumberFormat="1" applyFont="1" applyFill="1" applyBorder="1" applyAlignment="1">
      <alignment horizontal="center"/>
    </xf>
    <xf numFmtId="204" fontId="72" fillId="0" borderId="25" xfId="0" applyNumberFormat="1" applyFont="1" applyBorder="1" applyAlignment="1">
      <alignment horizontal="right" vertical="center"/>
    </xf>
    <xf numFmtId="204" fontId="73" fillId="0" borderId="25" xfId="0" applyNumberFormat="1" applyFont="1" applyBorder="1" applyAlignment="1">
      <alignment horizontal="right" vertical="center"/>
    </xf>
    <xf numFmtId="204" fontId="72" fillId="0" borderId="37" xfId="0" applyNumberFormat="1" applyFont="1" applyBorder="1" applyAlignment="1">
      <alignment horizontal="right" vertical="center"/>
    </xf>
    <xf numFmtId="14" fontId="91" fillId="0" borderId="88" xfId="0" applyNumberFormat="1" applyFont="1" applyBorder="1"/>
    <xf numFmtId="0" fontId="91" fillId="0" borderId="92" xfId="0" applyFont="1" applyBorder="1"/>
    <xf numFmtId="0" fontId="91" fillId="0" borderId="103" xfId="0" applyFont="1" applyBorder="1"/>
    <xf numFmtId="0" fontId="72" fillId="102" borderId="37" xfId="0" applyFont="1" applyFill="1" applyBorder="1" applyAlignment="1">
      <alignment vertical="center"/>
    </xf>
    <xf numFmtId="0" fontId="72" fillId="102" borderId="37" xfId="0" applyFont="1" applyFill="1" applyBorder="1" applyAlignment="1">
      <alignment horizontal="center" vertical="center"/>
    </xf>
    <xf numFmtId="0" fontId="81" fillId="102" borderId="0" xfId="0" applyFont="1" applyFill="1"/>
    <xf numFmtId="3" fontId="78" fillId="102" borderId="0" xfId="0" applyNumberFormat="1" applyFont="1" applyFill="1" applyAlignment="1">
      <alignment horizontal="right" vertical="center"/>
    </xf>
    <xf numFmtId="0" fontId="78" fillId="102" borderId="0" xfId="0" applyFont="1" applyFill="1" applyAlignment="1">
      <alignment vertical="center"/>
    </xf>
    <xf numFmtId="10" fontId="78" fillId="102" borderId="0" xfId="0" applyNumberFormat="1" applyFont="1" applyFill="1" applyAlignment="1">
      <alignment horizontal="right" vertical="center"/>
    </xf>
    <xf numFmtId="3" fontId="78" fillId="102" borderId="0" xfId="0" applyNumberFormat="1" applyFont="1" applyFill="1" applyAlignment="1">
      <alignment horizontal="center" vertical="center"/>
    </xf>
    <xf numFmtId="3" fontId="81" fillId="102" borderId="0" xfId="0" applyNumberFormat="1" applyFont="1" applyFill="1" applyAlignment="1">
      <alignment horizontal="right" vertical="center"/>
    </xf>
    <xf numFmtId="0" fontId="73" fillId="102" borderId="0" xfId="0" applyFont="1" applyFill="1" applyAlignment="1">
      <alignment horizontal="right" vertical="center"/>
    </xf>
    <xf numFmtId="0" fontId="79" fillId="102" borderId="0" xfId="0" applyFont="1" applyFill="1"/>
    <xf numFmtId="203" fontId="73" fillId="102" borderId="0" xfId="0" applyNumberFormat="1" applyFont="1" applyFill="1" applyAlignment="1">
      <alignment horizontal="right" vertical="center"/>
    </xf>
    <xf numFmtId="202" fontId="73" fillId="102" borderId="0" xfId="0" applyNumberFormat="1" applyFont="1" applyFill="1" applyAlignment="1">
      <alignment horizontal="right" vertical="center"/>
    </xf>
    <xf numFmtId="0" fontId="76" fillId="102" borderId="0" xfId="0" applyFont="1" applyFill="1" applyAlignment="1">
      <alignment horizontal="justify"/>
    </xf>
    <xf numFmtId="0" fontId="73" fillId="102" borderId="0" xfId="0" applyFont="1" applyFill="1" applyAlignment="1">
      <alignment vertical="center"/>
    </xf>
    <xf numFmtId="0" fontId="72" fillId="102" borderId="0" xfId="0" applyFont="1" applyFill="1" applyAlignment="1">
      <alignment vertical="center"/>
    </xf>
    <xf numFmtId="203" fontId="72" fillId="102" borderId="0" xfId="0" applyNumberFormat="1" applyFont="1" applyFill="1" applyAlignment="1">
      <alignment horizontal="right" vertical="center"/>
    </xf>
    <xf numFmtId="0" fontId="76" fillId="0" borderId="0" xfId="0" applyFont="1"/>
    <xf numFmtId="0" fontId="111" fillId="0" borderId="0" xfId="0" applyFont="1"/>
    <xf numFmtId="0" fontId="81" fillId="0" borderId="64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81" fillId="0" borderId="85" xfId="0" applyFont="1" applyBorder="1" applyAlignment="1">
      <alignment horizontal="center" vertical="center"/>
    </xf>
    <xf numFmtId="0" fontId="81" fillId="0" borderId="38" xfId="0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0" borderId="38" xfId="0" applyFont="1" applyBorder="1" applyAlignment="1">
      <alignment horizontal="center" vertical="center"/>
    </xf>
    <xf numFmtId="204" fontId="85" fillId="73" borderId="60" xfId="904" applyNumberFormat="1" applyFont="1" applyFill="1" applyBorder="1" applyAlignment="1">
      <alignment horizontal="left" vertical="center"/>
    </xf>
    <xf numFmtId="204" fontId="85" fillId="73" borderId="61" xfId="904" applyNumberFormat="1" applyFont="1" applyFill="1" applyBorder="1" applyAlignment="1">
      <alignment horizontal="left" vertical="center"/>
    </xf>
    <xf numFmtId="204" fontId="85" fillId="73" borderId="54" xfId="904" applyNumberFormat="1" applyFont="1" applyFill="1" applyBorder="1" applyAlignment="1">
      <alignment horizontal="center" vertical="center"/>
    </xf>
    <xf numFmtId="204" fontId="85" fillId="73" borderId="1" xfId="904" applyNumberFormat="1" applyFont="1" applyFill="1" applyBorder="1" applyAlignment="1">
      <alignment horizontal="center" vertical="center"/>
    </xf>
    <xf numFmtId="3" fontId="87" fillId="100" borderId="79" xfId="904" applyNumberFormat="1" applyFont="1" applyFill="1" applyBorder="1" applyAlignment="1">
      <alignment horizontal="center" vertical="center"/>
    </xf>
    <xf numFmtId="3" fontId="87" fillId="100" borderId="80" xfId="904" applyNumberFormat="1" applyFont="1" applyFill="1" applyBorder="1" applyAlignment="1">
      <alignment horizontal="center" vertical="center"/>
    </xf>
    <xf numFmtId="166" fontId="85" fillId="0" borderId="86" xfId="903" applyNumberFormat="1" applyFont="1" applyBorder="1" applyAlignment="1">
      <alignment horizontal="center"/>
    </xf>
    <xf numFmtId="204" fontId="85" fillId="73" borderId="53" xfId="904" applyNumberFormat="1" applyFont="1" applyFill="1" applyBorder="1" applyAlignment="1">
      <alignment horizontal="left" vertical="center"/>
    </xf>
    <xf numFmtId="204" fontId="85" fillId="73" borderId="55" xfId="904" applyNumberFormat="1" applyFont="1" applyFill="1" applyBorder="1" applyAlignment="1">
      <alignment horizontal="left" vertical="center"/>
    </xf>
    <xf numFmtId="166" fontId="87" fillId="100" borderId="83" xfId="904" applyNumberFormat="1" applyFont="1" applyFill="1" applyBorder="1" applyAlignment="1">
      <alignment horizontal="center" vertical="center"/>
    </xf>
    <xf numFmtId="166" fontId="87" fillId="100" borderId="84" xfId="904" applyNumberFormat="1" applyFont="1" applyFill="1" applyBorder="1" applyAlignment="1">
      <alignment horizontal="center" vertical="center"/>
    </xf>
    <xf numFmtId="0" fontId="85" fillId="97" borderId="69" xfId="0" applyFont="1" applyFill="1" applyBorder="1" applyAlignment="1">
      <alignment horizontal="left" vertical="center"/>
    </xf>
    <xf numFmtId="0" fontId="85" fillId="97" borderId="66" xfId="0" applyFont="1" applyFill="1" applyBorder="1" applyAlignment="1">
      <alignment horizontal="left" vertical="center"/>
    </xf>
    <xf numFmtId="0" fontId="85" fillId="97" borderId="67" xfId="0" applyFont="1" applyFill="1" applyBorder="1" applyAlignment="1">
      <alignment horizontal="center" vertical="center"/>
    </xf>
    <xf numFmtId="0" fontId="85" fillId="97" borderId="68" xfId="0" applyFont="1" applyFill="1" applyBorder="1" applyAlignment="1">
      <alignment horizontal="center" vertical="center"/>
    </xf>
  </cellXfs>
  <cellStyles count="181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8" xr:uid="{00000000-0005-0000-0000-000003000000}"/>
    <cellStyle name="0,0_x000d__x000a_NA_x000d__x000a_ 2 3" xfId="1707" xr:uid="{00000000-0005-0000-0000-000004000000}"/>
    <cellStyle name="0,0_x000d__x000a_NA_x000d__x000a_ 3" xfId="4" xr:uid="{00000000-0005-0000-0000-000005000000}"/>
    <cellStyle name="0,0_x000d__x000a_NA_x000d__x000a_ 3 2" xfId="1709" xr:uid="{00000000-0005-0000-0000-000006000000}"/>
    <cellStyle name="0,0_x000d__x000a_NA_x000d__x000a_ 4" xfId="1706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10" xr:uid="{00000000-0005-0000-0000-000017000000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11" xr:uid="{00000000-0005-0000-0000-00001B00000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12" xr:uid="{00000000-0005-0000-0000-00001F000000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3" xr:uid="{00000000-0005-0000-0000-000023000000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4" xr:uid="{00000000-0005-0000-0000-000027000000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5" xr:uid="{00000000-0005-0000-0000-00002B000000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6" xr:uid="{00000000-0005-0000-0000-00003B000000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7" xr:uid="{00000000-0005-0000-0000-00003F000000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8" xr:uid="{00000000-0005-0000-0000-000043000000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9" xr:uid="{00000000-0005-0000-0000-000047000000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20" xr:uid="{00000000-0005-0000-0000-00004B000000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21" xr:uid="{00000000-0005-0000-0000-00004F000000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81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3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Hipervínculo" xfId="1704" builtinId="8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" xfId="828" builtinId="3"/>
    <cellStyle name="Millares [0]" xfId="1700" builtinId="6"/>
    <cellStyle name="Millares [0] 2" xfId="1703" xr:uid="{00000000-0005-0000-0000-000050030000}"/>
    <cellStyle name="Millares [0] 2 2" xfId="829" xr:uid="{00000000-0005-0000-0000-000051030000}"/>
    <cellStyle name="Millares [0] 2 2 2" xfId="1727" xr:uid="{00000000-0005-0000-0000-000052030000}"/>
    <cellStyle name="Millares [0] 3" xfId="1705" xr:uid="{00000000-0005-0000-0000-000053030000}"/>
    <cellStyle name="Millares [0] 4" xfId="1813" xr:uid="{00000000-0005-0000-0000-000054030000}"/>
    <cellStyle name="Millares 10" xfId="1722" xr:uid="{00000000-0005-0000-0000-000055030000}"/>
    <cellStyle name="Millares 11" xfId="1724" xr:uid="{00000000-0005-0000-0000-000056030000}"/>
    <cellStyle name="Millares 2" xfId="830" xr:uid="{00000000-0005-0000-0000-000057030000}"/>
    <cellStyle name="Millares 2 2" xfId="1728" xr:uid="{00000000-0005-0000-0000-000058030000}"/>
    <cellStyle name="Millares 3" xfId="831" xr:uid="{00000000-0005-0000-0000-000059030000}"/>
    <cellStyle name="Millares 3 2" xfId="832" xr:uid="{00000000-0005-0000-0000-00005A030000}"/>
    <cellStyle name="Millares 3 2 2" xfId="1730" xr:uid="{00000000-0005-0000-0000-00005B030000}"/>
    <cellStyle name="Millares 3 3" xfId="1729" xr:uid="{00000000-0005-0000-0000-00005C030000}"/>
    <cellStyle name="Millares 4" xfId="833" xr:uid="{00000000-0005-0000-0000-00005D030000}"/>
    <cellStyle name="Millares 4 2" xfId="1731" xr:uid="{00000000-0005-0000-0000-00005E030000}"/>
    <cellStyle name="Millares 5" xfId="834" xr:uid="{00000000-0005-0000-0000-00005F030000}"/>
    <cellStyle name="Millares 6" xfId="1702" xr:uid="{00000000-0005-0000-0000-000060030000}"/>
    <cellStyle name="Millares 6 2" xfId="1814" xr:uid="{00000000-0005-0000-0000-000061030000}"/>
    <cellStyle name="Millares 7" xfId="835" xr:uid="{00000000-0005-0000-0000-000062030000}"/>
    <cellStyle name="Millares 8" xfId="1726" xr:uid="{00000000-0005-0000-0000-000063030000}"/>
    <cellStyle name="Millares 9" xfId="1725" xr:uid="{00000000-0005-0000-0000-000064030000}"/>
    <cellStyle name="Millares_Analisis Razonado diciemb 08" xfId="836" xr:uid="{00000000-0005-0000-0000-000065030000}"/>
    <cellStyle name="Moneda [0] 2 2" xfId="837" xr:uid="{00000000-0005-0000-0000-000066030000}"/>
    <cellStyle name="Moneda [0] 2 2 2" xfId="1732" xr:uid="{00000000-0005-0000-0000-000067030000}"/>
    <cellStyle name="Moneda 2" xfId="838" xr:uid="{00000000-0005-0000-0000-000068030000}"/>
    <cellStyle name="Moneda 2 2" xfId="839" xr:uid="{00000000-0005-0000-0000-000069030000}"/>
    <cellStyle name="Moneda 2 2 2" xfId="1734" xr:uid="{00000000-0005-0000-0000-00006A030000}"/>
    <cellStyle name="Moneda 2 3" xfId="840" xr:uid="{00000000-0005-0000-0000-00006B030000}"/>
    <cellStyle name="Moneda 2 3 2" xfId="1735" xr:uid="{00000000-0005-0000-0000-00006C030000}"/>
    <cellStyle name="Moneda 2 4" xfId="1733" xr:uid="{00000000-0005-0000-0000-00006D030000}"/>
    <cellStyle name="Nag?ówek 1" xfId="841" xr:uid="{00000000-0005-0000-0000-00006E030000}"/>
    <cellStyle name="Nag?ówek 2" xfId="842" xr:uid="{00000000-0005-0000-0000-00006F030000}"/>
    <cellStyle name="Nag?ówek 3" xfId="843" xr:uid="{00000000-0005-0000-0000-000070030000}"/>
    <cellStyle name="Nag?ówek 4" xfId="844" xr:uid="{00000000-0005-0000-0000-000071030000}"/>
    <cellStyle name="Nagłówek 1" xfId="845" xr:uid="{00000000-0005-0000-0000-000072030000}"/>
    <cellStyle name="Nagłówek 2" xfId="846" xr:uid="{00000000-0005-0000-0000-000073030000}"/>
    <cellStyle name="Nagłówek 3" xfId="847" xr:uid="{00000000-0005-0000-0000-000074030000}"/>
    <cellStyle name="Nagłówek 4" xfId="848" xr:uid="{00000000-0005-0000-0000-000075030000}"/>
    <cellStyle name="Neutral" xfId="849" builtinId="28" customBuiltin="1"/>
    <cellStyle name="Neutral 2" xfId="850" xr:uid="{00000000-0005-0000-0000-000077030000}"/>
    <cellStyle name="Neutral 2 2" xfId="851" xr:uid="{00000000-0005-0000-0000-000078030000}"/>
    <cellStyle name="Neutral 2 3" xfId="852" xr:uid="{00000000-0005-0000-0000-000079030000}"/>
    <cellStyle name="Neutral 2 4" xfId="853" xr:uid="{00000000-0005-0000-0000-00007A030000}"/>
    <cellStyle name="Neutral 2 5" xfId="854" xr:uid="{00000000-0005-0000-0000-00007B030000}"/>
    <cellStyle name="Neutral 2 6" xfId="855" xr:uid="{00000000-0005-0000-0000-00007C030000}"/>
    <cellStyle name="Neutral 3" xfId="856" xr:uid="{00000000-0005-0000-0000-00007D030000}"/>
    <cellStyle name="Neutral 3 2" xfId="857" xr:uid="{00000000-0005-0000-0000-00007E030000}"/>
    <cellStyle name="Neutral 3 3" xfId="858" xr:uid="{00000000-0005-0000-0000-00007F030000}"/>
    <cellStyle name="Neutral 3 4" xfId="859" xr:uid="{00000000-0005-0000-0000-000080030000}"/>
    <cellStyle name="Neutral 3 5" xfId="860" xr:uid="{00000000-0005-0000-0000-000081030000}"/>
    <cellStyle name="Neutral 4" xfId="861" xr:uid="{00000000-0005-0000-0000-000082030000}"/>
    <cellStyle name="Neutral 4 2" xfId="862" xr:uid="{00000000-0005-0000-0000-000083030000}"/>
    <cellStyle name="Neutral 4 3" xfId="863" xr:uid="{00000000-0005-0000-0000-000084030000}"/>
    <cellStyle name="Neutral 4 4" xfId="864" xr:uid="{00000000-0005-0000-0000-000085030000}"/>
    <cellStyle name="Neutral 4 5" xfId="865" xr:uid="{00000000-0005-0000-0000-000086030000}"/>
    <cellStyle name="Neutral 5" xfId="866" xr:uid="{00000000-0005-0000-0000-000087030000}"/>
    <cellStyle name="Neutral 5 2" xfId="867" xr:uid="{00000000-0005-0000-0000-000088030000}"/>
    <cellStyle name="Neutral 5 3" xfId="868" xr:uid="{00000000-0005-0000-0000-000089030000}"/>
    <cellStyle name="Neutral 5 4" xfId="869" xr:uid="{00000000-0005-0000-0000-00008A030000}"/>
    <cellStyle name="Neutral 5 5" xfId="870" xr:uid="{00000000-0005-0000-0000-00008B030000}"/>
    <cellStyle name="Neutral 6" xfId="871" xr:uid="{00000000-0005-0000-0000-00008C030000}"/>
    <cellStyle name="Neutral 6 2" xfId="872" xr:uid="{00000000-0005-0000-0000-00008D030000}"/>
    <cellStyle name="Neutral 7" xfId="873" xr:uid="{00000000-0005-0000-0000-00008E030000}"/>
    <cellStyle name="Neutral 8" xfId="874" xr:uid="{00000000-0005-0000-0000-00008F030000}"/>
    <cellStyle name="Neutral 9" xfId="875" xr:uid="{00000000-0005-0000-0000-000090030000}"/>
    <cellStyle name="Neutralne" xfId="876" xr:uid="{00000000-0005-0000-0000-000091030000}"/>
    <cellStyle name="Normal" xfId="0" builtinId="0"/>
    <cellStyle name="Normal 10" xfId="877" xr:uid="{00000000-0005-0000-0000-000093030000}"/>
    <cellStyle name="Normal 10 2" xfId="878" xr:uid="{00000000-0005-0000-0000-000094030000}"/>
    <cellStyle name="Normal 10 2 2" xfId="1737" xr:uid="{00000000-0005-0000-0000-000095030000}"/>
    <cellStyle name="Normal 10 3" xfId="1736" xr:uid="{00000000-0005-0000-0000-000096030000}"/>
    <cellStyle name="Normal 11" xfId="879" xr:uid="{00000000-0005-0000-0000-000097030000}"/>
    <cellStyle name="Normal 11 2" xfId="880" xr:uid="{00000000-0005-0000-0000-000098030000}"/>
    <cellStyle name="Normal 11 2 2" xfId="1739" xr:uid="{00000000-0005-0000-0000-000099030000}"/>
    <cellStyle name="Normal 11 3" xfId="1738" xr:uid="{00000000-0005-0000-0000-00009A030000}"/>
    <cellStyle name="Normal 12" xfId="881" xr:uid="{00000000-0005-0000-0000-00009B030000}"/>
    <cellStyle name="Normal 12 2" xfId="882" xr:uid="{00000000-0005-0000-0000-00009C030000}"/>
    <cellStyle name="Normal 12 2 2" xfId="1741" xr:uid="{00000000-0005-0000-0000-00009D030000}"/>
    <cellStyle name="Normal 12 3" xfId="1740" xr:uid="{00000000-0005-0000-0000-00009E030000}"/>
    <cellStyle name="Normal 13" xfId="883" xr:uid="{00000000-0005-0000-0000-00009F030000}"/>
    <cellStyle name="Normal 13 2" xfId="884" xr:uid="{00000000-0005-0000-0000-0000A0030000}"/>
    <cellStyle name="Normal 13 2 2" xfId="1743" xr:uid="{00000000-0005-0000-0000-0000A1030000}"/>
    <cellStyle name="Normal 13 3" xfId="1742" xr:uid="{00000000-0005-0000-0000-0000A2030000}"/>
    <cellStyle name="Normal 14" xfId="885" xr:uid="{00000000-0005-0000-0000-0000A3030000}"/>
    <cellStyle name="Normal 14 2" xfId="1744" xr:uid="{00000000-0005-0000-0000-0000A4030000}"/>
    <cellStyle name="Normal 15" xfId="886" xr:uid="{00000000-0005-0000-0000-0000A5030000}"/>
    <cellStyle name="Normal 15 2" xfId="887" xr:uid="{00000000-0005-0000-0000-0000A6030000}"/>
    <cellStyle name="Normal 15 2 2" xfId="1746" xr:uid="{00000000-0005-0000-0000-0000A7030000}"/>
    <cellStyle name="Normal 15 3" xfId="1745" xr:uid="{00000000-0005-0000-0000-0000A8030000}"/>
    <cellStyle name="Normal 16" xfId="1698" xr:uid="{00000000-0005-0000-0000-0000A9030000}"/>
    <cellStyle name="Normal 17" xfId="888" xr:uid="{00000000-0005-0000-0000-0000AA030000}"/>
    <cellStyle name="Normal 18" xfId="1697" xr:uid="{00000000-0005-0000-0000-0000AB030000}"/>
    <cellStyle name="Normal 2" xfId="889" xr:uid="{00000000-0005-0000-0000-0000AC030000}"/>
    <cellStyle name="Normal 2 10" xfId="890" xr:uid="{00000000-0005-0000-0000-0000AD030000}"/>
    <cellStyle name="Normal 2 10 2" xfId="1747" xr:uid="{00000000-0005-0000-0000-0000AE030000}"/>
    <cellStyle name="Normal 2 11" xfId="891" xr:uid="{00000000-0005-0000-0000-0000AF030000}"/>
    <cellStyle name="Normal 2 12" xfId="892" xr:uid="{00000000-0005-0000-0000-0000B0030000}"/>
    <cellStyle name="Normal 2 13" xfId="1701" xr:uid="{00000000-0005-0000-0000-0000B1030000}"/>
    <cellStyle name="Normal 2 2" xfId="893" xr:uid="{00000000-0005-0000-0000-0000B2030000}"/>
    <cellStyle name="Normal 2 2 2" xfId="894" xr:uid="{00000000-0005-0000-0000-0000B3030000}"/>
    <cellStyle name="Normal 2 3" xfId="895" xr:uid="{00000000-0005-0000-0000-0000B4030000}"/>
    <cellStyle name="Normal 2 3 2" xfId="1748" xr:uid="{00000000-0005-0000-0000-0000B5030000}"/>
    <cellStyle name="Normal 2 4" xfId="896" xr:uid="{00000000-0005-0000-0000-0000B6030000}"/>
    <cellStyle name="Normal 2 4 2" xfId="1749" xr:uid="{00000000-0005-0000-0000-0000B7030000}"/>
    <cellStyle name="Normal 2 5" xfId="897" xr:uid="{00000000-0005-0000-0000-0000B8030000}"/>
    <cellStyle name="Normal 2 5 2" xfId="1750" xr:uid="{00000000-0005-0000-0000-0000B9030000}"/>
    <cellStyle name="Normal 2 6" xfId="898" xr:uid="{00000000-0005-0000-0000-0000BA030000}"/>
    <cellStyle name="Normal 2 6 2" xfId="1751" xr:uid="{00000000-0005-0000-0000-0000BB030000}"/>
    <cellStyle name="Normal 2 7" xfId="899" xr:uid="{00000000-0005-0000-0000-0000BC030000}"/>
    <cellStyle name="Normal 2 8" xfId="900" xr:uid="{00000000-0005-0000-0000-0000BD030000}"/>
    <cellStyle name="Normal 2 8 2" xfId="1752" xr:uid="{00000000-0005-0000-0000-0000BE030000}"/>
    <cellStyle name="Normal 2 9" xfId="901" xr:uid="{00000000-0005-0000-0000-0000BF030000}"/>
    <cellStyle name="Normal 2_Combinación de negocios - AA-IAMv3" xfId="902" xr:uid="{00000000-0005-0000-0000-0000C0030000}"/>
    <cellStyle name="Normal 3" xfId="903" xr:uid="{00000000-0005-0000-0000-0000C1030000}"/>
    <cellStyle name="Normal 3 2" xfId="904" xr:uid="{00000000-0005-0000-0000-0000C2030000}"/>
    <cellStyle name="Normal 3 2 2" xfId="1754" xr:uid="{00000000-0005-0000-0000-0000C3030000}"/>
    <cellStyle name="Normal 3 3" xfId="1753" xr:uid="{00000000-0005-0000-0000-0000C4030000}"/>
    <cellStyle name="Normal 4" xfId="905" xr:uid="{00000000-0005-0000-0000-0000C5030000}"/>
    <cellStyle name="Normal 5" xfId="906" xr:uid="{00000000-0005-0000-0000-0000C6030000}"/>
    <cellStyle name="Normal 6" xfId="907" xr:uid="{00000000-0005-0000-0000-0000C7030000}"/>
    <cellStyle name="Normal 6 2" xfId="908" xr:uid="{00000000-0005-0000-0000-0000C8030000}"/>
    <cellStyle name="Normal 6 2 2" xfId="1755" xr:uid="{00000000-0005-0000-0000-0000C9030000}"/>
    <cellStyle name="Normal 7" xfId="909" xr:uid="{00000000-0005-0000-0000-0000CA030000}"/>
    <cellStyle name="Normal 8" xfId="910" xr:uid="{00000000-0005-0000-0000-0000CB030000}"/>
    <cellStyle name="Normal 9" xfId="911" xr:uid="{00000000-0005-0000-0000-0000CC030000}"/>
    <cellStyle name="Notas" xfId="912" builtinId="10" customBuiltin="1"/>
    <cellStyle name="Notas 10" xfId="913" xr:uid="{00000000-0005-0000-0000-0000CE030000}"/>
    <cellStyle name="Notas 11" xfId="1756" xr:uid="{00000000-0005-0000-0000-0000CF030000}"/>
    <cellStyle name="Notas 2" xfId="914" xr:uid="{00000000-0005-0000-0000-0000D0030000}"/>
    <cellStyle name="Notas 2 2" xfId="915" xr:uid="{00000000-0005-0000-0000-0000D1030000}"/>
    <cellStyle name="Notas 2 3" xfId="916" xr:uid="{00000000-0005-0000-0000-0000D2030000}"/>
    <cellStyle name="Notas 2 4" xfId="917" xr:uid="{00000000-0005-0000-0000-0000D3030000}"/>
    <cellStyle name="Notas 2 5" xfId="918" xr:uid="{00000000-0005-0000-0000-0000D4030000}"/>
    <cellStyle name="Notas 2 6" xfId="919" xr:uid="{00000000-0005-0000-0000-0000D5030000}"/>
    <cellStyle name="Notas 3" xfId="920" xr:uid="{00000000-0005-0000-0000-0000D6030000}"/>
    <cellStyle name="Notas 3 2" xfId="921" xr:uid="{00000000-0005-0000-0000-0000D7030000}"/>
    <cellStyle name="Notas 3 3" xfId="922" xr:uid="{00000000-0005-0000-0000-0000D8030000}"/>
    <cellStyle name="Notas 3 4" xfId="923" xr:uid="{00000000-0005-0000-0000-0000D9030000}"/>
    <cellStyle name="Notas 3 5" xfId="924" xr:uid="{00000000-0005-0000-0000-0000DA030000}"/>
    <cellStyle name="Notas 4" xfId="925" xr:uid="{00000000-0005-0000-0000-0000DB030000}"/>
    <cellStyle name="Notas 4 2" xfId="926" xr:uid="{00000000-0005-0000-0000-0000DC030000}"/>
    <cellStyle name="Notas 4 3" xfId="927" xr:uid="{00000000-0005-0000-0000-0000DD030000}"/>
    <cellStyle name="Notas 4 4" xfId="928" xr:uid="{00000000-0005-0000-0000-0000DE030000}"/>
    <cellStyle name="Notas 4 5" xfId="929" xr:uid="{00000000-0005-0000-0000-0000DF030000}"/>
    <cellStyle name="Notas 5" xfId="930" xr:uid="{00000000-0005-0000-0000-0000E0030000}"/>
    <cellStyle name="Notas 5 2" xfId="931" xr:uid="{00000000-0005-0000-0000-0000E1030000}"/>
    <cellStyle name="Notas 5 3" xfId="932" xr:uid="{00000000-0005-0000-0000-0000E2030000}"/>
    <cellStyle name="Notas 5 4" xfId="933" xr:uid="{00000000-0005-0000-0000-0000E3030000}"/>
    <cellStyle name="Notas 5 5" xfId="934" xr:uid="{00000000-0005-0000-0000-0000E4030000}"/>
    <cellStyle name="Notas 6" xfId="935" xr:uid="{00000000-0005-0000-0000-0000E5030000}"/>
    <cellStyle name="Notas 6 2" xfId="936" xr:uid="{00000000-0005-0000-0000-0000E6030000}"/>
    <cellStyle name="Notas 6 2 2" xfId="1757" xr:uid="{00000000-0005-0000-0000-0000E7030000}"/>
    <cellStyle name="Notas 7" xfId="937" xr:uid="{00000000-0005-0000-0000-0000E8030000}"/>
    <cellStyle name="Notas 8" xfId="938" xr:uid="{00000000-0005-0000-0000-0000E9030000}"/>
    <cellStyle name="Notas 9" xfId="939" xr:uid="{00000000-0005-0000-0000-0000EA030000}"/>
    <cellStyle name="Note" xfId="940" xr:uid="{00000000-0005-0000-0000-0000EB030000}"/>
    <cellStyle name="Note 2" xfId="941" xr:uid="{00000000-0005-0000-0000-0000EC030000}"/>
    <cellStyle name="Note 3" xfId="942" xr:uid="{00000000-0005-0000-0000-0000ED030000}"/>
    <cellStyle name="Note 4" xfId="943" xr:uid="{00000000-0005-0000-0000-0000EE030000}"/>
    <cellStyle name="Note 5" xfId="944" xr:uid="{00000000-0005-0000-0000-0000EF030000}"/>
    <cellStyle name="Note 6" xfId="945" xr:uid="{00000000-0005-0000-0000-0000F0030000}"/>
    <cellStyle name="Note 7" xfId="946" xr:uid="{00000000-0005-0000-0000-0000F1030000}"/>
    <cellStyle name="Note 8" xfId="947" xr:uid="{00000000-0005-0000-0000-0000F2030000}"/>
    <cellStyle name="Obliczenia" xfId="948" xr:uid="{00000000-0005-0000-0000-0000F3030000}"/>
    <cellStyle name="Output" xfId="949" xr:uid="{00000000-0005-0000-0000-0000F4030000}"/>
    <cellStyle name="Porcentaje" xfId="950" builtinId="5"/>
    <cellStyle name="Porcentaje 2" xfId="1699" xr:uid="{00000000-0005-0000-0000-0000F6030000}"/>
    <cellStyle name="Porcentual 10" xfId="951" xr:uid="{00000000-0005-0000-0000-0000F7030000}"/>
    <cellStyle name="Porcentual 10 2" xfId="952" xr:uid="{00000000-0005-0000-0000-0000F8030000}"/>
    <cellStyle name="Porcentual 10 2 2" xfId="1759" xr:uid="{00000000-0005-0000-0000-0000F9030000}"/>
    <cellStyle name="Porcentual 10 3" xfId="1758" xr:uid="{00000000-0005-0000-0000-0000FA030000}"/>
    <cellStyle name="Porcentual 11" xfId="953" xr:uid="{00000000-0005-0000-0000-0000FB030000}"/>
    <cellStyle name="Porcentual 11 2" xfId="954" xr:uid="{00000000-0005-0000-0000-0000FC030000}"/>
    <cellStyle name="Porcentual 11 2 2" xfId="1761" xr:uid="{00000000-0005-0000-0000-0000FD030000}"/>
    <cellStyle name="Porcentual 11 3" xfId="1760" xr:uid="{00000000-0005-0000-0000-0000FE030000}"/>
    <cellStyle name="Porcentual 2" xfId="955" xr:uid="{00000000-0005-0000-0000-0000FF030000}"/>
    <cellStyle name="Porcentual 2 2" xfId="956" xr:uid="{00000000-0005-0000-0000-000000040000}"/>
    <cellStyle name="Porcentual 2 3" xfId="1762" xr:uid="{00000000-0005-0000-0000-000001040000}"/>
    <cellStyle name="Porcentual 3" xfId="957" xr:uid="{00000000-0005-0000-0000-000002040000}"/>
    <cellStyle name="Porcentual 3 2" xfId="1763" xr:uid="{00000000-0005-0000-0000-000003040000}"/>
    <cellStyle name="Porcentual 4" xfId="958" xr:uid="{00000000-0005-0000-0000-000004040000}"/>
    <cellStyle name="Porcentual 4 2" xfId="959" xr:uid="{00000000-0005-0000-0000-000005040000}"/>
    <cellStyle name="Porcentual 5" xfId="960" xr:uid="{00000000-0005-0000-0000-000006040000}"/>
    <cellStyle name="Porcentual 5 2" xfId="961" xr:uid="{00000000-0005-0000-0000-000007040000}"/>
    <cellStyle name="Porcentual 5 2 2" xfId="1765" xr:uid="{00000000-0005-0000-0000-000008040000}"/>
    <cellStyle name="Porcentual 5 3" xfId="1764" xr:uid="{00000000-0005-0000-0000-000009040000}"/>
    <cellStyle name="Porcentual 6" xfId="962" xr:uid="{00000000-0005-0000-0000-00000A040000}"/>
    <cellStyle name="Porcentual 7" xfId="963" xr:uid="{00000000-0005-0000-0000-00000B040000}"/>
    <cellStyle name="Porcentual 7 2" xfId="964" xr:uid="{00000000-0005-0000-0000-00000C040000}"/>
    <cellStyle name="Porcentual 8" xfId="965" xr:uid="{00000000-0005-0000-0000-00000D040000}"/>
    <cellStyle name="Porcentual 8 2" xfId="966" xr:uid="{00000000-0005-0000-0000-00000E040000}"/>
    <cellStyle name="Porcentual 8 2 2" xfId="1767" xr:uid="{00000000-0005-0000-0000-00000F040000}"/>
    <cellStyle name="Porcentual 8 3" xfId="1766" xr:uid="{00000000-0005-0000-0000-000010040000}"/>
    <cellStyle name="Porcentual 9" xfId="967" xr:uid="{00000000-0005-0000-0000-000011040000}"/>
    <cellStyle name="Salida" xfId="968" builtinId="21" customBuiltin="1"/>
    <cellStyle name="Salida 2" xfId="969" xr:uid="{00000000-0005-0000-0000-000013040000}"/>
    <cellStyle name="Salida 2 2" xfId="970" xr:uid="{00000000-0005-0000-0000-000014040000}"/>
    <cellStyle name="Salida 2 3" xfId="971" xr:uid="{00000000-0005-0000-0000-000015040000}"/>
    <cellStyle name="Salida 2 4" xfId="972" xr:uid="{00000000-0005-0000-0000-000016040000}"/>
    <cellStyle name="Salida 2 5" xfId="973" xr:uid="{00000000-0005-0000-0000-000017040000}"/>
    <cellStyle name="Salida 2 6" xfId="974" xr:uid="{00000000-0005-0000-0000-000018040000}"/>
    <cellStyle name="Salida 3" xfId="975" xr:uid="{00000000-0005-0000-0000-000019040000}"/>
    <cellStyle name="Salida 3 2" xfId="976" xr:uid="{00000000-0005-0000-0000-00001A040000}"/>
    <cellStyle name="Salida 3 3" xfId="977" xr:uid="{00000000-0005-0000-0000-00001B040000}"/>
    <cellStyle name="Salida 3 4" xfId="978" xr:uid="{00000000-0005-0000-0000-00001C040000}"/>
    <cellStyle name="Salida 3 5" xfId="979" xr:uid="{00000000-0005-0000-0000-00001D040000}"/>
    <cellStyle name="Salida 4" xfId="980" xr:uid="{00000000-0005-0000-0000-00001E040000}"/>
    <cellStyle name="Salida 4 2" xfId="981" xr:uid="{00000000-0005-0000-0000-00001F040000}"/>
    <cellStyle name="Salida 4 3" xfId="982" xr:uid="{00000000-0005-0000-0000-000020040000}"/>
    <cellStyle name="Salida 4 4" xfId="983" xr:uid="{00000000-0005-0000-0000-000021040000}"/>
    <cellStyle name="Salida 4 5" xfId="984" xr:uid="{00000000-0005-0000-0000-000022040000}"/>
    <cellStyle name="Salida 5" xfId="985" xr:uid="{00000000-0005-0000-0000-000023040000}"/>
    <cellStyle name="Salida 5 2" xfId="986" xr:uid="{00000000-0005-0000-0000-000024040000}"/>
    <cellStyle name="Salida 5 3" xfId="987" xr:uid="{00000000-0005-0000-0000-000025040000}"/>
    <cellStyle name="Salida 5 4" xfId="988" xr:uid="{00000000-0005-0000-0000-000026040000}"/>
    <cellStyle name="Salida 5 5" xfId="989" xr:uid="{00000000-0005-0000-0000-000027040000}"/>
    <cellStyle name="Salida 6" xfId="990" xr:uid="{00000000-0005-0000-0000-000028040000}"/>
    <cellStyle name="Salida 6 2" xfId="991" xr:uid="{00000000-0005-0000-0000-000029040000}"/>
    <cellStyle name="Salida 7" xfId="992" xr:uid="{00000000-0005-0000-0000-00002A040000}"/>
    <cellStyle name="Salida 8" xfId="993" xr:uid="{00000000-0005-0000-0000-00002B040000}"/>
    <cellStyle name="Salida 9" xfId="994" xr:uid="{00000000-0005-0000-0000-00002C040000}"/>
    <cellStyle name="SAPBEXaggData" xfId="995" xr:uid="{00000000-0005-0000-0000-00002D040000}"/>
    <cellStyle name="SAPBEXaggData 10" xfId="996" xr:uid="{00000000-0005-0000-0000-00002E040000}"/>
    <cellStyle name="SAPBEXaggData 11" xfId="997" xr:uid="{00000000-0005-0000-0000-00002F040000}"/>
    <cellStyle name="SAPBEXaggData 2" xfId="998" xr:uid="{00000000-0005-0000-0000-000030040000}"/>
    <cellStyle name="SAPBEXaggData 2 2" xfId="999" xr:uid="{00000000-0005-0000-0000-000031040000}"/>
    <cellStyle name="SAPBEXaggData 2 2 2" xfId="1000" xr:uid="{00000000-0005-0000-0000-000032040000}"/>
    <cellStyle name="SAPBEXaggData 3" xfId="1001" xr:uid="{00000000-0005-0000-0000-000033040000}"/>
    <cellStyle name="SAPBEXaggData 4" xfId="1002" xr:uid="{00000000-0005-0000-0000-000034040000}"/>
    <cellStyle name="SAPBEXaggData 5" xfId="1003" xr:uid="{00000000-0005-0000-0000-000035040000}"/>
    <cellStyle name="SAPBEXaggData 6" xfId="1004" xr:uid="{00000000-0005-0000-0000-000036040000}"/>
    <cellStyle name="SAPBEXaggData 7" xfId="1005" xr:uid="{00000000-0005-0000-0000-000037040000}"/>
    <cellStyle name="SAPBEXaggData 8" xfId="1006" xr:uid="{00000000-0005-0000-0000-000038040000}"/>
    <cellStyle name="SAPBEXaggData 9" xfId="1007" xr:uid="{00000000-0005-0000-0000-000039040000}"/>
    <cellStyle name="SAPBEXaggData_gxaccion, 68" xfId="1008" xr:uid="{00000000-0005-0000-0000-00003A040000}"/>
    <cellStyle name="SAPBEXaggDataEmph" xfId="1009" xr:uid="{00000000-0005-0000-0000-00003B040000}"/>
    <cellStyle name="SAPBEXaggDataEmph 10" xfId="1010" xr:uid="{00000000-0005-0000-0000-00003C040000}"/>
    <cellStyle name="SAPBEXaggDataEmph 11" xfId="1011" xr:uid="{00000000-0005-0000-0000-00003D040000}"/>
    <cellStyle name="SAPBEXaggDataEmph 2" xfId="1012" xr:uid="{00000000-0005-0000-0000-00003E040000}"/>
    <cellStyle name="SAPBEXaggDataEmph 2 2" xfId="1013" xr:uid="{00000000-0005-0000-0000-00003F040000}"/>
    <cellStyle name="SAPBEXaggDataEmph 2 2 2" xfId="1014" xr:uid="{00000000-0005-0000-0000-000040040000}"/>
    <cellStyle name="SAPBEXaggDataEmph 3" xfId="1015" xr:uid="{00000000-0005-0000-0000-000041040000}"/>
    <cellStyle name="SAPBEXaggDataEmph 4" xfId="1016" xr:uid="{00000000-0005-0000-0000-000042040000}"/>
    <cellStyle name="SAPBEXaggDataEmph 5" xfId="1017" xr:uid="{00000000-0005-0000-0000-000043040000}"/>
    <cellStyle name="SAPBEXaggDataEmph 6" xfId="1018" xr:uid="{00000000-0005-0000-0000-000044040000}"/>
    <cellStyle name="SAPBEXaggDataEmph 7" xfId="1019" xr:uid="{00000000-0005-0000-0000-000045040000}"/>
    <cellStyle name="SAPBEXaggDataEmph 8" xfId="1020" xr:uid="{00000000-0005-0000-0000-000046040000}"/>
    <cellStyle name="SAPBEXaggDataEmph 9" xfId="1021" xr:uid="{00000000-0005-0000-0000-000047040000}"/>
    <cellStyle name="SAPBEXaggDataEmph_valor justo.junio2010" xfId="1022" xr:uid="{00000000-0005-0000-0000-000048040000}"/>
    <cellStyle name="SAPBEXaggItem" xfId="1023" xr:uid="{00000000-0005-0000-0000-000049040000}"/>
    <cellStyle name="SAPBEXaggItem 10" xfId="1024" xr:uid="{00000000-0005-0000-0000-00004A040000}"/>
    <cellStyle name="SAPBEXaggItem 11" xfId="1025" xr:uid="{00000000-0005-0000-0000-00004B040000}"/>
    <cellStyle name="SAPBEXaggItem 2" xfId="1026" xr:uid="{00000000-0005-0000-0000-00004C040000}"/>
    <cellStyle name="SAPBEXaggItem 2 2" xfId="1027" xr:uid="{00000000-0005-0000-0000-00004D040000}"/>
    <cellStyle name="SAPBEXaggItem 2 2 2" xfId="1028" xr:uid="{00000000-0005-0000-0000-00004E040000}"/>
    <cellStyle name="SAPBEXaggItem 3" xfId="1029" xr:uid="{00000000-0005-0000-0000-00004F040000}"/>
    <cellStyle name="SAPBEXaggItem 4" xfId="1030" xr:uid="{00000000-0005-0000-0000-000050040000}"/>
    <cellStyle name="SAPBEXaggItem 5" xfId="1031" xr:uid="{00000000-0005-0000-0000-000051040000}"/>
    <cellStyle name="SAPBEXaggItem 6" xfId="1032" xr:uid="{00000000-0005-0000-0000-000052040000}"/>
    <cellStyle name="SAPBEXaggItem 7" xfId="1033" xr:uid="{00000000-0005-0000-0000-000053040000}"/>
    <cellStyle name="SAPBEXaggItem 8" xfId="1034" xr:uid="{00000000-0005-0000-0000-000054040000}"/>
    <cellStyle name="SAPBEXaggItem 9" xfId="1035" xr:uid="{00000000-0005-0000-0000-000055040000}"/>
    <cellStyle name="SAPBEXaggItem_gxaccion, 68" xfId="1036" xr:uid="{00000000-0005-0000-0000-000056040000}"/>
    <cellStyle name="SAPBEXaggItemX" xfId="1037" xr:uid="{00000000-0005-0000-0000-000057040000}"/>
    <cellStyle name="SAPBEXaggItemX 10" xfId="1038" xr:uid="{00000000-0005-0000-0000-000058040000}"/>
    <cellStyle name="SAPBEXaggItemX 11" xfId="1039" xr:uid="{00000000-0005-0000-0000-000059040000}"/>
    <cellStyle name="SAPBEXaggItemX 2" xfId="1040" xr:uid="{00000000-0005-0000-0000-00005A040000}"/>
    <cellStyle name="SAPBEXaggItemX 2 2" xfId="1041" xr:uid="{00000000-0005-0000-0000-00005B040000}"/>
    <cellStyle name="SAPBEXaggItemX 2 2 2" xfId="1042" xr:uid="{00000000-0005-0000-0000-00005C040000}"/>
    <cellStyle name="SAPBEXaggItemX 3" xfId="1043" xr:uid="{00000000-0005-0000-0000-00005D040000}"/>
    <cellStyle name="SAPBEXaggItemX 4" xfId="1044" xr:uid="{00000000-0005-0000-0000-00005E040000}"/>
    <cellStyle name="SAPBEXaggItemX 5" xfId="1045" xr:uid="{00000000-0005-0000-0000-00005F040000}"/>
    <cellStyle name="SAPBEXaggItemX 6" xfId="1046" xr:uid="{00000000-0005-0000-0000-000060040000}"/>
    <cellStyle name="SAPBEXaggItemX 7" xfId="1047" xr:uid="{00000000-0005-0000-0000-000061040000}"/>
    <cellStyle name="SAPBEXaggItemX 8" xfId="1048" xr:uid="{00000000-0005-0000-0000-000062040000}"/>
    <cellStyle name="SAPBEXaggItemX 9" xfId="1049" xr:uid="{00000000-0005-0000-0000-000063040000}"/>
    <cellStyle name="SAPBEXaggItemX_valor justo.junio2010" xfId="1050" xr:uid="{00000000-0005-0000-0000-000064040000}"/>
    <cellStyle name="SAPBEXchaText" xfId="1051" xr:uid="{00000000-0005-0000-0000-000065040000}"/>
    <cellStyle name="SAPBEXchaText 10" xfId="1052" xr:uid="{00000000-0005-0000-0000-000066040000}"/>
    <cellStyle name="SAPBEXchaText 11" xfId="1053" xr:uid="{00000000-0005-0000-0000-000067040000}"/>
    <cellStyle name="SAPBEXchaText 2" xfId="1054" xr:uid="{00000000-0005-0000-0000-000068040000}"/>
    <cellStyle name="SAPBEXchaText 2 2" xfId="1055" xr:uid="{00000000-0005-0000-0000-000069040000}"/>
    <cellStyle name="SAPBEXchaText 2 2 2" xfId="1056" xr:uid="{00000000-0005-0000-0000-00006A040000}"/>
    <cellStyle name="SAPBEXchaText 3" xfId="1057" xr:uid="{00000000-0005-0000-0000-00006B040000}"/>
    <cellStyle name="SAPBEXchaText 4" xfId="1058" xr:uid="{00000000-0005-0000-0000-00006C040000}"/>
    <cellStyle name="SAPBEXchaText 5" xfId="1059" xr:uid="{00000000-0005-0000-0000-00006D040000}"/>
    <cellStyle name="SAPBEXchaText 6" xfId="1060" xr:uid="{00000000-0005-0000-0000-00006E040000}"/>
    <cellStyle name="SAPBEXchaText 7" xfId="1061" xr:uid="{00000000-0005-0000-0000-00006F040000}"/>
    <cellStyle name="SAPBEXchaText 8" xfId="1062" xr:uid="{00000000-0005-0000-0000-000070040000}"/>
    <cellStyle name="SAPBEXchaText 9" xfId="1063" xr:uid="{00000000-0005-0000-0000-000071040000}"/>
    <cellStyle name="SAPBEXchaText_gxaccion, 68" xfId="1064" xr:uid="{00000000-0005-0000-0000-000072040000}"/>
    <cellStyle name="SAPBEXexcBad7" xfId="1065" xr:uid="{00000000-0005-0000-0000-000073040000}"/>
    <cellStyle name="SAPBEXexcBad7 10" xfId="1066" xr:uid="{00000000-0005-0000-0000-000074040000}"/>
    <cellStyle name="SAPBEXexcBad7 11" xfId="1067" xr:uid="{00000000-0005-0000-0000-000075040000}"/>
    <cellStyle name="SAPBEXexcBad7 2" xfId="1068" xr:uid="{00000000-0005-0000-0000-000076040000}"/>
    <cellStyle name="SAPBEXexcBad7 2 2" xfId="1069" xr:uid="{00000000-0005-0000-0000-000077040000}"/>
    <cellStyle name="SAPBEXexcBad7 2 2 2" xfId="1070" xr:uid="{00000000-0005-0000-0000-000078040000}"/>
    <cellStyle name="SAPBEXexcBad7 3" xfId="1071" xr:uid="{00000000-0005-0000-0000-000079040000}"/>
    <cellStyle name="SAPBEXexcBad7 4" xfId="1072" xr:uid="{00000000-0005-0000-0000-00007A040000}"/>
    <cellStyle name="SAPBEXexcBad7 5" xfId="1073" xr:uid="{00000000-0005-0000-0000-00007B040000}"/>
    <cellStyle name="SAPBEXexcBad7 6" xfId="1074" xr:uid="{00000000-0005-0000-0000-00007C040000}"/>
    <cellStyle name="SAPBEXexcBad7 7" xfId="1075" xr:uid="{00000000-0005-0000-0000-00007D040000}"/>
    <cellStyle name="SAPBEXexcBad7 8" xfId="1076" xr:uid="{00000000-0005-0000-0000-00007E040000}"/>
    <cellStyle name="SAPBEXexcBad7 9" xfId="1077" xr:uid="{00000000-0005-0000-0000-00007F040000}"/>
    <cellStyle name="SAPBEXexcBad7_gxaccion, 68" xfId="1078" xr:uid="{00000000-0005-0000-0000-000080040000}"/>
    <cellStyle name="SAPBEXexcBad8" xfId="1079" xr:uid="{00000000-0005-0000-0000-000081040000}"/>
    <cellStyle name="SAPBEXexcBad8 10" xfId="1080" xr:uid="{00000000-0005-0000-0000-000082040000}"/>
    <cellStyle name="SAPBEXexcBad8 11" xfId="1081" xr:uid="{00000000-0005-0000-0000-000083040000}"/>
    <cellStyle name="SAPBEXexcBad8 2" xfId="1082" xr:uid="{00000000-0005-0000-0000-000084040000}"/>
    <cellStyle name="SAPBEXexcBad8 2 2" xfId="1083" xr:uid="{00000000-0005-0000-0000-000085040000}"/>
    <cellStyle name="SAPBEXexcBad8 2 2 2" xfId="1084" xr:uid="{00000000-0005-0000-0000-000086040000}"/>
    <cellStyle name="SAPBEXexcBad8 3" xfId="1085" xr:uid="{00000000-0005-0000-0000-000087040000}"/>
    <cellStyle name="SAPBEXexcBad8 4" xfId="1086" xr:uid="{00000000-0005-0000-0000-000088040000}"/>
    <cellStyle name="SAPBEXexcBad8 5" xfId="1087" xr:uid="{00000000-0005-0000-0000-000089040000}"/>
    <cellStyle name="SAPBEXexcBad8 6" xfId="1088" xr:uid="{00000000-0005-0000-0000-00008A040000}"/>
    <cellStyle name="SAPBEXexcBad8 7" xfId="1089" xr:uid="{00000000-0005-0000-0000-00008B040000}"/>
    <cellStyle name="SAPBEXexcBad8 8" xfId="1090" xr:uid="{00000000-0005-0000-0000-00008C040000}"/>
    <cellStyle name="SAPBEXexcBad8 9" xfId="1091" xr:uid="{00000000-0005-0000-0000-00008D040000}"/>
    <cellStyle name="SAPBEXexcBad8_gxaccion, 68" xfId="1092" xr:uid="{00000000-0005-0000-0000-00008E040000}"/>
    <cellStyle name="SAPBEXexcBad9" xfId="1093" xr:uid="{00000000-0005-0000-0000-00008F040000}"/>
    <cellStyle name="SAPBEXexcBad9 10" xfId="1094" xr:uid="{00000000-0005-0000-0000-000090040000}"/>
    <cellStyle name="SAPBEXexcBad9 11" xfId="1095" xr:uid="{00000000-0005-0000-0000-000091040000}"/>
    <cellStyle name="SAPBEXexcBad9 2" xfId="1096" xr:uid="{00000000-0005-0000-0000-000092040000}"/>
    <cellStyle name="SAPBEXexcBad9 2 2" xfId="1097" xr:uid="{00000000-0005-0000-0000-000093040000}"/>
    <cellStyle name="SAPBEXexcBad9 2 2 2" xfId="1098" xr:uid="{00000000-0005-0000-0000-000094040000}"/>
    <cellStyle name="SAPBEXexcBad9 3" xfId="1099" xr:uid="{00000000-0005-0000-0000-000095040000}"/>
    <cellStyle name="SAPBEXexcBad9 4" xfId="1100" xr:uid="{00000000-0005-0000-0000-000096040000}"/>
    <cellStyle name="SAPBEXexcBad9 5" xfId="1101" xr:uid="{00000000-0005-0000-0000-000097040000}"/>
    <cellStyle name="SAPBEXexcBad9 6" xfId="1102" xr:uid="{00000000-0005-0000-0000-000098040000}"/>
    <cellStyle name="SAPBEXexcBad9 7" xfId="1103" xr:uid="{00000000-0005-0000-0000-000099040000}"/>
    <cellStyle name="SAPBEXexcBad9 8" xfId="1104" xr:uid="{00000000-0005-0000-0000-00009A040000}"/>
    <cellStyle name="SAPBEXexcBad9 9" xfId="1105" xr:uid="{00000000-0005-0000-0000-00009B040000}"/>
    <cellStyle name="SAPBEXexcBad9_gxaccion, 68" xfId="1106" xr:uid="{00000000-0005-0000-0000-00009C040000}"/>
    <cellStyle name="SAPBEXexcCritical4" xfId="1107" xr:uid="{00000000-0005-0000-0000-00009D040000}"/>
    <cellStyle name="SAPBEXexcCritical4 10" xfId="1108" xr:uid="{00000000-0005-0000-0000-00009E040000}"/>
    <cellStyle name="SAPBEXexcCritical4 11" xfId="1109" xr:uid="{00000000-0005-0000-0000-00009F040000}"/>
    <cellStyle name="SAPBEXexcCritical4 2" xfId="1110" xr:uid="{00000000-0005-0000-0000-0000A0040000}"/>
    <cellStyle name="SAPBEXexcCritical4 2 2" xfId="1111" xr:uid="{00000000-0005-0000-0000-0000A1040000}"/>
    <cellStyle name="SAPBEXexcCritical4 2 2 2" xfId="1112" xr:uid="{00000000-0005-0000-0000-0000A2040000}"/>
    <cellStyle name="SAPBEXexcCritical4 3" xfId="1113" xr:uid="{00000000-0005-0000-0000-0000A3040000}"/>
    <cellStyle name="SAPBEXexcCritical4 4" xfId="1114" xr:uid="{00000000-0005-0000-0000-0000A4040000}"/>
    <cellStyle name="SAPBEXexcCritical4 5" xfId="1115" xr:uid="{00000000-0005-0000-0000-0000A5040000}"/>
    <cellStyle name="SAPBEXexcCritical4 6" xfId="1116" xr:uid="{00000000-0005-0000-0000-0000A6040000}"/>
    <cellStyle name="SAPBEXexcCritical4 7" xfId="1117" xr:uid="{00000000-0005-0000-0000-0000A7040000}"/>
    <cellStyle name="SAPBEXexcCritical4 8" xfId="1118" xr:uid="{00000000-0005-0000-0000-0000A8040000}"/>
    <cellStyle name="SAPBEXexcCritical4 9" xfId="1119" xr:uid="{00000000-0005-0000-0000-0000A9040000}"/>
    <cellStyle name="SAPBEXexcCritical4_gxaccion, 68" xfId="1120" xr:uid="{00000000-0005-0000-0000-0000AA040000}"/>
    <cellStyle name="SAPBEXexcCritical5" xfId="1121" xr:uid="{00000000-0005-0000-0000-0000AB040000}"/>
    <cellStyle name="SAPBEXexcCritical5 10" xfId="1122" xr:uid="{00000000-0005-0000-0000-0000AC040000}"/>
    <cellStyle name="SAPBEXexcCritical5 11" xfId="1123" xr:uid="{00000000-0005-0000-0000-0000AD040000}"/>
    <cellStyle name="SAPBEXexcCritical5 2" xfId="1124" xr:uid="{00000000-0005-0000-0000-0000AE040000}"/>
    <cellStyle name="SAPBEXexcCritical5 2 2" xfId="1125" xr:uid="{00000000-0005-0000-0000-0000AF040000}"/>
    <cellStyle name="SAPBEXexcCritical5 2 2 2" xfId="1126" xr:uid="{00000000-0005-0000-0000-0000B0040000}"/>
    <cellStyle name="SAPBEXexcCritical5 3" xfId="1127" xr:uid="{00000000-0005-0000-0000-0000B1040000}"/>
    <cellStyle name="SAPBEXexcCritical5 4" xfId="1128" xr:uid="{00000000-0005-0000-0000-0000B2040000}"/>
    <cellStyle name="SAPBEXexcCritical5 5" xfId="1129" xr:uid="{00000000-0005-0000-0000-0000B3040000}"/>
    <cellStyle name="SAPBEXexcCritical5 6" xfId="1130" xr:uid="{00000000-0005-0000-0000-0000B4040000}"/>
    <cellStyle name="SAPBEXexcCritical5 7" xfId="1131" xr:uid="{00000000-0005-0000-0000-0000B5040000}"/>
    <cellStyle name="SAPBEXexcCritical5 8" xfId="1132" xr:uid="{00000000-0005-0000-0000-0000B6040000}"/>
    <cellStyle name="SAPBEXexcCritical5 9" xfId="1133" xr:uid="{00000000-0005-0000-0000-0000B7040000}"/>
    <cellStyle name="SAPBEXexcCritical5_gxaccion, 68" xfId="1134" xr:uid="{00000000-0005-0000-0000-0000B8040000}"/>
    <cellStyle name="SAPBEXexcCritical6" xfId="1135" xr:uid="{00000000-0005-0000-0000-0000B9040000}"/>
    <cellStyle name="SAPBEXexcCritical6 10" xfId="1136" xr:uid="{00000000-0005-0000-0000-0000BA040000}"/>
    <cellStyle name="SAPBEXexcCritical6 11" xfId="1137" xr:uid="{00000000-0005-0000-0000-0000BB040000}"/>
    <cellStyle name="SAPBEXexcCritical6 2" xfId="1138" xr:uid="{00000000-0005-0000-0000-0000BC040000}"/>
    <cellStyle name="SAPBEXexcCritical6 2 2" xfId="1139" xr:uid="{00000000-0005-0000-0000-0000BD040000}"/>
    <cellStyle name="SAPBEXexcCritical6 2 2 2" xfId="1140" xr:uid="{00000000-0005-0000-0000-0000BE040000}"/>
    <cellStyle name="SAPBEXexcCritical6 3" xfId="1141" xr:uid="{00000000-0005-0000-0000-0000BF040000}"/>
    <cellStyle name="SAPBEXexcCritical6 4" xfId="1142" xr:uid="{00000000-0005-0000-0000-0000C0040000}"/>
    <cellStyle name="SAPBEXexcCritical6 5" xfId="1143" xr:uid="{00000000-0005-0000-0000-0000C1040000}"/>
    <cellStyle name="SAPBEXexcCritical6 6" xfId="1144" xr:uid="{00000000-0005-0000-0000-0000C2040000}"/>
    <cellStyle name="SAPBEXexcCritical6 7" xfId="1145" xr:uid="{00000000-0005-0000-0000-0000C3040000}"/>
    <cellStyle name="SAPBEXexcCritical6 8" xfId="1146" xr:uid="{00000000-0005-0000-0000-0000C4040000}"/>
    <cellStyle name="SAPBEXexcCritical6 9" xfId="1147" xr:uid="{00000000-0005-0000-0000-0000C5040000}"/>
    <cellStyle name="SAPBEXexcCritical6_gxaccion, 68" xfId="1148" xr:uid="{00000000-0005-0000-0000-0000C6040000}"/>
    <cellStyle name="SAPBEXexcGood1" xfId="1149" xr:uid="{00000000-0005-0000-0000-0000C7040000}"/>
    <cellStyle name="SAPBEXexcGood1 10" xfId="1150" xr:uid="{00000000-0005-0000-0000-0000C8040000}"/>
    <cellStyle name="SAPBEXexcGood1 11" xfId="1151" xr:uid="{00000000-0005-0000-0000-0000C9040000}"/>
    <cellStyle name="SAPBEXexcGood1 2" xfId="1152" xr:uid="{00000000-0005-0000-0000-0000CA040000}"/>
    <cellStyle name="SAPBEXexcGood1 2 2" xfId="1153" xr:uid="{00000000-0005-0000-0000-0000CB040000}"/>
    <cellStyle name="SAPBEXexcGood1 2 2 2" xfId="1154" xr:uid="{00000000-0005-0000-0000-0000CC040000}"/>
    <cellStyle name="SAPBEXexcGood1 3" xfId="1155" xr:uid="{00000000-0005-0000-0000-0000CD040000}"/>
    <cellStyle name="SAPBEXexcGood1 4" xfId="1156" xr:uid="{00000000-0005-0000-0000-0000CE040000}"/>
    <cellStyle name="SAPBEXexcGood1 5" xfId="1157" xr:uid="{00000000-0005-0000-0000-0000CF040000}"/>
    <cellStyle name="SAPBEXexcGood1 6" xfId="1158" xr:uid="{00000000-0005-0000-0000-0000D0040000}"/>
    <cellStyle name="SAPBEXexcGood1 7" xfId="1159" xr:uid="{00000000-0005-0000-0000-0000D1040000}"/>
    <cellStyle name="SAPBEXexcGood1 8" xfId="1160" xr:uid="{00000000-0005-0000-0000-0000D2040000}"/>
    <cellStyle name="SAPBEXexcGood1 9" xfId="1161" xr:uid="{00000000-0005-0000-0000-0000D3040000}"/>
    <cellStyle name="SAPBEXexcGood1_gxaccion, 68" xfId="1162" xr:uid="{00000000-0005-0000-0000-0000D4040000}"/>
    <cellStyle name="SAPBEXexcGood2" xfId="1163" xr:uid="{00000000-0005-0000-0000-0000D5040000}"/>
    <cellStyle name="SAPBEXexcGood2 10" xfId="1164" xr:uid="{00000000-0005-0000-0000-0000D6040000}"/>
    <cellStyle name="SAPBEXexcGood2 11" xfId="1165" xr:uid="{00000000-0005-0000-0000-0000D7040000}"/>
    <cellStyle name="SAPBEXexcGood2 2" xfId="1166" xr:uid="{00000000-0005-0000-0000-0000D8040000}"/>
    <cellStyle name="SAPBEXexcGood2 2 2" xfId="1167" xr:uid="{00000000-0005-0000-0000-0000D9040000}"/>
    <cellStyle name="SAPBEXexcGood2 2 2 2" xfId="1168" xr:uid="{00000000-0005-0000-0000-0000DA040000}"/>
    <cellStyle name="SAPBEXexcGood2 3" xfId="1169" xr:uid="{00000000-0005-0000-0000-0000DB040000}"/>
    <cellStyle name="SAPBEXexcGood2 4" xfId="1170" xr:uid="{00000000-0005-0000-0000-0000DC040000}"/>
    <cellStyle name="SAPBEXexcGood2 5" xfId="1171" xr:uid="{00000000-0005-0000-0000-0000DD040000}"/>
    <cellStyle name="SAPBEXexcGood2 6" xfId="1172" xr:uid="{00000000-0005-0000-0000-0000DE040000}"/>
    <cellStyle name="SAPBEXexcGood2 7" xfId="1173" xr:uid="{00000000-0005-0000-0000-0000DF040000}"/>
    <cellStyle name="SAPBEXexcGood2 8" xfId="1174" xr:uid="{00000000-0005-0000-0000-0000E0040000}"/>
    <cellStyle name="SAPBEXexcGood2 9" xfId="1175" xr:uid="{00000000-0005-0000-0000-0000E1040000}"/>
    <cellStyle name="SAPBEXexcGood2_gxaccion, 68" xfId="1176" xr:uid="{00000000-0005-0000-0000-0000E2040000}"/>
    <cellStyle name="SAPBEXexcGood3" xfId="1177" xr:uid="{00000000-0005-0000-0000-0000E3040000}"/>
    <cellStyle name="SAPBEXexcGood3 10" xfId="1178" xr:uid="{00000000-0005-0000-0000-0000E4040000}"/>
    <cellStyle name="SAPBEXexcGood3 11" xfId="1179" xr:uid="{00000000-0005-0000-0000-0000E5040000}"/>
    <cellStyle name="SAPBEXexcGood3 2" xfId="1180" xr:uid="{00000000-0005-0000-0000-0000E6040000}"/>
    <cellStyle name="SAPBEXexcGood3 2 2" xfId="1181" xr:uid="{00000000-0005-0000-0000-0000E7040000}"/>
    <cellStyle name="SAPBEXexcGood3 2 2 2" xfId="1182" xr:uid="{00000000-0005-0000-0000-0000E8040000}"/>
    <cellStyle name="SAPBEXexcGood3 3" xfId="1183" xr:uid="{00000000-0005-0000-0000-0000E9040000}"/>
    <cellStyle name="SAPBEXexcGood3 4" xfId="1184" xr:uid="{00000000-0005-0000-0000-0000EA040000}"/>
    <cellStyle name="SAPBEXexcGood3 5" xfId="1185" xr:uid="{00000000-0005-0000-0000-0000EB040000}"/>
    <cellStyle name="SAPBEXexcGood3 6" xfId="1186" xr:uid="{00000000-0005-0000-0000-0000EC040000}"/>
    <cellStyle name="SAPBEXexcGood3 7" xfId="1187" xr:uid="{00000000-0005-0000-0000-0000ED040000}"/>
    <cellStyle name="SAPBEXexcGood3 8" xfId="1188" xr:uid="{00000000-0005-0000-0000-0000EE040000}"/>
    <cellStyle name="SAPBEXexcGood3 9" xfId="1189" xr:uid="{00000000-0005-0000-0000-0000EF040000}"/>
    <cellStyle name="SAPBEXexcGood3_gxaccion, 68" xfId="1190" xr:uid="{00000000-0005-0000-0000-0000F0040000}"/>
    <cellStyle name="SAPBEXfilterDrill" xfId="1191" xr:uid="{00000000-0005-0000-0000-0000F1040000}"/>
    <cellStyle name="SAPBEXfilterDrill 10" xfId="1192" xr:uid="{00000000-0005-0000-0000-0000F2040000}"/>
    <cellStyle name="SAPBEXfilterDrill 11" xfId="1193" xr:uid="{00000000-0005-0000-0000-0000F3040000}"/>
    <cellStyle name="SAPBEXfilterDrill 2" xfId="1194" xr:uid="{00000000-0005-0000-0000-0000F4040000}"/>
    <cellStyle name="SAPBEXfilterDrill 2 2" xfId="1195" xr:uid="{00000000-0005-0000-0000-0000F5040000}"/>
    <cellStyle name="SAPBEXfilterDrill 2 2 2" xfId="1196" xr:uid="{00000000-0005-0000-0000-0000F6040000}"/>
    <cellStyle name="SAPBEXfilterDrill 3" xfId="1197" xr:uid="{00000000-0005-0000-0000-0000F7040000}"/>
    <cellStyle name="SAPBEXfilterDrill 4" xfId="1198" xr:uid="{00000000-0005-0000-0000-0000F8040000}"/>
    <cellStyle name="SAPBEXfilterDrill 5" xfId="1199" xr:uid="{00000000-0005-0000-0000-0000F9040000}"/>
    <cellStyle name="SAPBEXfilterDrill 6" xfId="1200" xr:uid="{00000000-0005-0000-0000-0000FA040000}"/>
    <cellStyle name="SAPBEXfilterDrill 7" xfId="1201" xr:uid="{00000000-0005-0000-0000-0000FB040000}"/>
    <cellStyle name="SAPBEXfilterDrill 8" xfId="1202" xr:uid="{00000000-0005-0000-0000-0000FC040000}"/>
    <cellStyle name="SAPBEXfilterDrill 9" xfId="1203" xr:uid="{00000000-0005-0000-0000-0000FD040000}"/>
    <cellStyle name="SAPBEXfilterDrill_gxaccion, 68" xfId="1204" xr:uid="{00000000-0005-0000-0000-0000FE040000}"/>
    <cellStyle name="SAPBEXfilterItem" xfId="1205" xr:uid="{00000000-0005-0000-0000-0000FF040000}"/>
    <cellStyle name="SAPBEXfilterItem 10" xfId="1206" xr:uid="{00000000-0005-0000-0000-000000050000}"/>
    <cellStyle name="SAPBEXfilterItem 10 2" xfId="1768" xr:uid="{00000000-0005-0000-0000-000001050000}"/>
    <cellStyle name="SAPBEXfilterItem 11" xfId="1207" xr:uid="{00000000-0005-0000-0000-000002050000}"/>
    <cellStyle name="SAPBEXfilterItem 11 2" xfId="1769" xr:uid="{00000000-0005-0000-0000-000003050000}"/>
    <cellStyle name="SAPBEXfilterItem 2" xfId="1208" xr:uid="{00000000-0005-0000-0000-000004050000}"/>
    <cellStyle name="SAPBEXfilterItem 2 2" xfId="1209" xr:uid="{00000000-0005-0000-0000-000005050000}"/>
    <cellStyle name="SAPBEXfilterItem 2 2 2" xfId="1210" xr:uid="{00000000-0005-0000-0000-000006050000}"/>
    <cellStyle name="SAPBEXfilterItem 2 2 2 2" xfId="1771" xr:uid="{00000000-0005-0000-0000-000007050000}"/>
    <cellStyle name="SAPBEXfilterItem 2 3" xfId="1770" xr:uid="{00000000-0005-0000-0000-000008050000}"/>
    <cellStyle name="SAPBEXfilterItem 3" xfId="1211" xr:uid="{00000000-0005-0000-0000-000009050000}"/>
    <cellStyle name="SAPBEXfilterItem 3 2" xfId="1772" xr:uid="{00000000-0005-0000-0000-00000A050000}"/>
    <cellStyle name="SAPBEXfilterItem 4" xfId="1212" xr:uid="{00000000-0005-0000-0000-00000B050000}"/>
    <cellStyle name="SAPBEXfilterItem 4 2" xfId="1773" xr:uid="{00000000-0005-0000-0000-00000C050000}"/>
    <cellStyle name="SAPBEXfilterItem 5" xfId="1213" xr:uid="{00000000-0005-0000-0000-00000D050000}"/>
    <cellStyle name="SAPBEXfilterItem 5 2" xfId="1774" xr:uid="{00000000-0005-0000-0000-00000E050000}"/>
    <cellStyle name="SAPBEXfilterItem 6" xfId="1214" xr:uid="{00000000-0005-0000-0000-00000F050000}"/>
    <cellStyle name="SAPBEXfilterItem 6 2" xfId="1775" xr:uid="{00000000-0005-0000-0000-000010050000}"/>
    <cellStyle name="SAPBEXfilterItem 7" xfId="1215" xr:uid="{00000000-0005-0000-0000-000011050000}"/>
    <cellStyle name="SAPBEXfilterItem 7 2" xfId="1776" xr:uid="{00000000-0005-0000-0000-000012050000}"/>
    <cellStyle name="SAPBEXfilterItem 8" xfId="1216" xr:uid="{00000000-0005-0000-0000-000013050000}"/>
    <cellStyle name="SAPBEXfilterItem 8 2" xfId="1777" xr:uid="{00000000-0005-0000-0000-000014050000}"/>
    <cellStyle name="SAPBEXfilterItem 9" xfId="1217" xr:uid="{00000000-0005-0000-0000-000015050000}"/>
    <cellStyle name="SAPBEXfilterItem 9 2" xfId="1778" xr:uid="{00000000-0005-0000-0000-000016050000}"/>
    <cellStyle name="SAPBEXfilterText" xfId="1218" xr:uid="{00000000-0005-0000-0000-000017050000}"/>
    <cellStyle name="SAPBEXfilterText 10" xfId="1219" xr:uid="{00000000-0005-0000-0000-000018050000}"/>
    <cellStyle name="SAPBEXfilterText 10 2" xfId="1779" xr:uid="{00000000-0005-0000-0000-000019050000}"/>
    <cellStyle name="SAPBEXfilterText 11" xfId="1220" xr:uid="{00000000-0005-0000-0000-00001A050000}"/>
    <cellStyle name="SAPBEXfilterText 11 2" xfId="1780" xr:uid="{00000000-0005-0000-0000-00001B050000}"/>
    <cellStyle name="SAPBEXfilterText 2" xfId="1221" xr:uid="{00000000-0005-0000-0000-00001C050000}"/>
    <cellStyle name="SAPBEXfilterText 2 2" xfId="1222" xr:uid="{00000000-0005-0000-0000-00001D050000}"/>
    <cellStyle name="SAPBEXfilterText 2 2 2" xfId="1223" xr:uid="{00000000-0005-0000-0000-00001E050000}"/>
    <cellStyle name="SAPBEXfilterText 2 2 2 2" xfId="1782" xr:uid="{00000000-0005-0000-0000-00001F050000}"/>
    <cellStyle name="SAPBEXfilterText 2 3" xfId="1781" xr:uid="{00000000-0005-0000-0000-000020050000}"/>
    <cellStyle name="SAPBEXfilterText 3" xfId="1224" xr:uid="{00000000-0005-0000-0000-000021050000}"/>
    <cellStyle name="SAPBEXfilterText 3 2" xfId="1783" xr:uid="{00000000-0005-0000-0000-000022050000}"/>
    <cellStyle name="SAPBEXfilterText 4" xfId="1225" xr:uid="{00000000-0005-0000-0000-000023050000}"/>
    <cellStyle name="SAPBEXfilterText 4 2" xfId="1784" xr:uid="{00000000-0005-0000-0000-000024050000}"/>
    <cellStyle name="SAPBEXfilterText 5" xfId="1226" xr:uid="{00000000-0005-0000-0000-000025050000}"/>
    <cellStyle name="SAPBEXfilterText 5 2" xfId="1785" xr:uid="{00000000-0005-0000-0000-000026050000}"/>
    <cellStyle name="SAPBEXfilterText 6" xfId="1227" xr:uid="{00000000-0005-0000-0000-000027050000}"/>
    <cellStyle name="SAPBEXfilterText 6 2" xfId="1786" xr:uid="{00000000-0005-0000-0000-000028050000}"/>
    <cellStyle name="SAPBEXfilterText 7" xfId="1228" xr:uid="{00000000-0005-0000-0000-000029050000}"/>
    <cellStyle name="SAPBEXfilterText 7 2" xfId="1787" xr:uid="{00000000-0005-0000-0000-00002A050000}"/>
    <cellStyle name="SAPBEXfilterText 8" xfId="1229" xr:uid="{00000000-0005-0000-0000-00002B050000}"/>
    <cellStyle name="SAPBEXfilterText 8 2" xfId="1788" xr:uid="{00000000-0005-0000-0000-00002C050000}"/>
    <cellStyle name="SAPBEXfilterText 9" xfId="1230" xr:uid="{00000000-0005-0000-0000-00002D050000}"/>
    <cellStyle name="SAPBEXfilterText 9 2" xfId="1789" xr:uid="{00000000-0005-0000-0000-00002E050000}"/>
    <cellStyle name="SAPBEXformats" xfId="1231" xr:uid="{00000000-0005-0000-0000-00002F050000}"/>
    <cellStyle name="SAPBEXformats 10" xfId="1232" xr:uid="{00000000-0005-0000-0000-000030050000}"/>
    <cellStyle name="SAPBEXformats 11" xfId="1233" xr:uid="{00000000-0005-0000-0000-000031050000}"/>
    <cellStyle name="SAPBEXformats 2" xfId="1234" xr:uid="{00000000-0005-0000-0000-000032050000}"/>
    <cellStyle name="SAPBEXformats 2 2" xfId="1235" xr:uid="{00000000-0005-0000-0000-000033050000}"/>
    <cellStyle name="SAPBEXformats 2 2 2" xfId="1236" xr:uid="{00000000-0005-0000-0000-000034050000}"/>
    <cellStyle name="SAPBEXformats 3" xfId="1237" xr:uid="{00000000-0005-0000-0000-000035050000}"/>
    <cellStyle name="SAPBEXformats 4" xfId="1238" xr:uid="{00000000-0005-0000-0000-000036050000}"/>
    <cellStyle name="SAPBEXformats 5" xfId="1239" xr:uid="{00000000-0005-0000-0000-000037050000}"/>
    <cellStyle name="SAPBEXformats 6" xfId="1240" xr:uid="{00000000-0005-0000-0000-000038050000}"/>
    <cellStyle name="SAPBEXformats 7" xfId="1241" xr:uid="{00000000-0005-0000-0000-000039050000}"/>
    <cellStyle name="SAPBEXformats 8" xfId="1242" xr:uid="{00000000-0005-0000-0000-00003A050000}"/>
    <cellStyle name="SAPBEXformats 9" xfId="1243" xr:uid="{00000000-0005-0000-0000-00003B050000}"/>
    <cellStyle name="SAPBEXformats_gxaccion, 68" xfId="1244" xr:uid="{00000000-0005-0000-0000-00003C050000}"/>
    <cellStyle name="SAPBEXheaderItem" xfId="1245" xr:uid="{00000000-0005-0000-0000-00003D050000}"/>
    <cellStyle name="SAPBEXheaderItem 10" xfId="1246" xr:uid="{00000000-0005-0000-0000-00003E050000}"/>
    <cellStyle name="SAPBEXheaderItem 11" xfId="1247" xr:uid="{00000000-0005-0000-0000-00003F050000}"/>
    <cellStyle name="SAPBEXheaderItem 2" xfId="1248" xr:uid="{00000000-0005-0000-0000-000040050000}"/>
    <cellStyle name="SAPBEXheaderItem 2 2" xfId="1249" xr:uid="{00000000-0005-0000-0000-000041050000}"/>
    <cellStyle name="SAPBEXheaderItem 2 2 2" xfId="1250" xr:uid="{00000000-0005-0000-0000-000042050000}"/>
    <cellStyle name="SAPBEXheaderItem 3" xfId="1251" xr:uid="{00000000-0005-0000-0000-000043050000}"/>
    <cellStyle name="SAPBEXheaderItem 4" xfId="1252" xr:uid="{00000000-0005-0000-0000-000044050000}"/>
    <cellStyle name="SAPBEXheaderItem 5" xfId="1253" xr:uid="{00000000-0005-0000-0000-000045050000}"/>
    <cellStyle name="SAPBEXheaderItem 6" xfId="1254" xr:uid="{00000000-0005-0000-0000-000046050000}"/>
    <cellStyle name="SAPBEXheaderItem 7" xfId="1255" xr:uid="{00000000-0005-0000-0000-000047050000}"/>
    <cellStyle name="SAPBEXheaderItem 8" xfId="1256" xr:uid="{00000000-0005-0000-0000-000048050000}"/>
    <cellStyle name="SAPBEXheaderItem 9" xfId="1257" xr:uid="{00000000-0005-0000-0000-000049050000}"/>
    <cellStyle name="SAPBEXheaderItem_gxaccion, 68" xfId="1258" xr:uid="{00000000-0005-0000-0000-00004A050000}"/>
    <cellStyle name="SAPBEXheaderText" xfId="1259" xr:uid="{00000000-0005-0000-0000-00004B050000}"/>
    <cellStyle name="SAPBEXheaderText 10" xfId="1260" xr:uid="{00000000-0005-0000-0000-00004C050000}"/>
    <cellStyle name="SAPBEXheaderText 11" xfId="1261" xr:uid="{00000000-0005-0000-0000-00004D050000}"/>
    <cellStyle name="SAPBEXheaderText 2" xfId="1262" xr:uid="{00000000-0005-0000-0000-00004E050000}"/>
    <cellStyle name="SAPBEXheaderText 2 2" xfId="1263" xr:uid="{00000000-0005-0000-0000-00004F050000}"/>
    <cellStyle name="SAPBEXheaderText 2 2 2" xfId="1264" xr:uid="{00000000-0005-0000-0000-000050050000}"/>
    <cellStyle name="SAPBEXheaderText 3" xfId="1265" xr:uid="{00000000-0005-0000-0000-000051050000}"/>
    <cellStyle name="SAPBEXheaderText 4" xfId="1266" xr:uid="{00000000-0005-0000-0000-000052050000}"/>
    <cellStyle name="SAPBEXheaderText 5" xfId="1267" xr:uid="{00000000-0005-0000-0000-000053050000}"/>
    <cellStyle name="SAPBEXheaderText 6" xfId="1268" xr:uid="{00000000-0005-0000-0000-000054050000}"/>
    <cellStyle name="SAPBEXheaderText 7" xfId="1269" xr:uid="{00000000-0005-0000-0000-000055050000}"/>
    <cellStyle name="SAPBEXheaderText 8" xfId="1270" xr:uid="{00000000-0005-0000-0000-000056050000}"/>
    <cellStyle name="SAPBEXheaderText 9" xfId="1271" xr:uid="{00000000-0005-0000-0000-000057050000}"/>
    <cellStyle name="SAPBEXheaderText_gxaccion, 68" xfId="1272" xr:uid="{00000000-0005-0000-0000-000058050000}"/>
    <cellStyle name="SAPBEXHLevel0" xfId="1273" xr:uid="{00000000-0005-0000-0000-000059050000}"/>
    <cellStyle name="SAPBEXHLevel0 10" xfId="1274" xr:uid="{00000000-0005-0000-0000-00005A050000}"/>
    <cellStyle name="SAPBEXHLevel0 11" xfId="1275" xr:uid="{00000000-0005-0000-0000-00005B050000}"/>
    <cellStyle name="SAPBEXHLevel0 12" xfId="1790" xr:uid="{00000000-0005-0000-0000-00005C050000}"/>
    <cellStyle name="SAPBEXHLevel0 2" xfId="1276" xr:uid="{00000000-0005-0000-0000-00005D050000}"/>
    <cellStyle name="SAPBEXHLevel0 2 2" xfId="1277" xr:uid="{00000000-0005-0000-0000-00005E050000}"/>
    <cellStyle name="SAPBEXHLevel0 2 2 2" xfId="1278" xr:uid="{00000000-0005-0000-0000-00005F050000}"/>
    <cellStyle name="SAPBEXHLevel0 2 2 3" xfId="1791" xr:uid="{00000000-0005-0000-0000-000060050000}"/>
    <cellStyle name="SAPBEXHLevel0 3" xfId="1279" xr:uid="{00000000-0005-0000-0000-000061050000}"/>
    <cellStyle name="SAPBEXHLevel0 4" xfId="1280" xr:uid="{00000000-0005-0000-0000-000062050000}"/>
    <cellStyle name="SAPBEXHLevel0 5" xfId="1281" xr:uid="{00000000-0005-0000-0000-000063050000}"/>
    <cellStyle name="SAPBEXHLevel0 6" xfId="1282" xr:uid="{00000000-0005-0000-0000-000064050000}"/>
    <cellStyle name="SAPBEXHLevel0 7" xfId="1283" xr:uid="{00000000-0005-0000-0000-000065050000}"/>
    <cellStyle name="SAPBEXHLevel0 8" xfId="1284" xr:uid="{00000000-0005-0000-0000-000066050000}"/>
    <cellStyle name="SAPBEXHLevel0 9" xfId="1285" xr:uid="{00000000-0005-0000-0000-000067050000}"/>
    <cellStyle name="SAPBEXHLevel0_gxaccion, 68" xfId="1286" xr:uid="{00000000-0005-0000-0000-000068050000}"/>
    <cellStyle name="SAPBEXHLevel0X" xfId="1287" xr:uid="{00000000-0005-0000-0000-000069050000}"/>
    <cellStyle name="SAPBEXHLevel0X 10" xfId="1288" xr:uid="{00000000-0005-0000-0000-00006A050000}"/>
    <cellStyle name="SAPBEXHLevel0X 11" xfId="1289" xr:uid="{00000000-0005-0000-0000-00006B050000}"/>
    <cellStyle name="SAPBEXHLevel0X 12" xfId="1792" xr:uid="{00000000-0005-0000-0000-00006C050000}"/>
    <cellStyle name="SAPBEXHLevel0X 2" xfId="1290" xr:uid="{00000000-0005-0000-0000-00006D050000}"/>
    <cellStyle name="SAPBEXHLevel0X 2 2" xfId="1291" xr:uid="{00000000-0005-0000-0000-00006E050000}"/>
    <cellStyle name="SAPBEXHLevel0X 2 2 2" xfId="1292" xr:uid="{00000000-0005-0000-0000-00006F050000}"/>
    <cellStyle name="SAPBEXHLevel0X 2 2 3" xfId="1793" xr:uid="{00000000-0005-0000-0000-000070050000}"/>
    <cellStyle name="SAPBEXHLevel0X 3" xfId="1293" xr:uid="{00000000-0005-0000-0000-000071050000}"/>
    <cellStyle name="SAPBEXHLevel0X 4" xfId="1294" xr:uid="{00000000-0005-0000-0000-000072050000}"/>
    <cellStyle name="SAPBEXHLevel0X 5" xfId="1295" xr:uid="{00000000-0005-0000-0000-000073050000}"/>
    <cellStyle name="SAPBEXHLevel0X 6" xfId="1296" xr:uid="{00000000-0005-0000-0000-000074050000}"/>
    <cellStyle name="SAPBEXHLevel0X 7" xfId="1297" xr:uid="{00000000-0005-0000-0000-000075050000}"/>
    <cellStyle name="SAPBEXHLevel0X 8" xfId="1298" xr:uid="{00000000-0005-0000-0000-000076050000}"/>
    <cellStyle name="SAPBEXHLevel0X 9" xfId="1299" xr:uid="{00000000-0005-0000-0000-000077050000}"/>
    <cellStyle name="SAPBEXHLevel0X_gxaccion, 68" xfId="1300" xr:uid="{00000000-0005-0000-0000-000078050000}"/>
    <cellStyle name="SAPBEXHLevel1" xfId="1301" xr:uid="{00000000-0005-0000-0000-000079050000}"/>
    <cellStyle name="SAPBEXHLevel1 10" xfId="1302" xr:uid="{00000000-0005-0000-0000-00007A050000}"/>
    <cellStyle name="SAPBEXHLevel1 11" xfId="1303" xr:uid="{00000000-0005-0000-0000-00007B050000}"/>
    <cellStyle name="SAPBEXHLevel1 12" xfId="1794" xr:uid="{00000000-0005-0000-0000-00007C050000}"/>
    <cellStyle name="SAPBEXHLevel1 2" xfId="1304" xr:uid="{00000000-0005-0000-0000-00007D050000}"/>
    <cellStyle name="SAPBEXHLevel1 2 2" xfId="1305" xr:uid="{00000000-0005-0000-0000-00007E050000}"/>
    <cellStyle name="SAPBEXHLevel1 2 2 2" xfId="1306" xr:uid="{00000000-0005-0000-0000-00007F050000}"/>
    <cellStyle name="SAPBEXHLevel1 2 2 3" xfId="1795" xr:uid="{00000000-0005-0000-0000-000080050000}"/>
    <cellStyle name="SAPBEXHLevel1 3" xfId="1307" xr:uid="{00000000-0005-0000-0000-000081050000}"/>
    <cellStyle name="SAPBEXHLevel1 4" xfId="1308" xr:uid="{00000000-0005-0000-0000-000082050000}"/>
    <cellStyle name="SAPBEXHLevel1 5" xfId="1309" xr:uid="{00000000-0005-0000-0000-000083050000}"/>
    <cellStyle name="SAPBEXHLevel1 6" xfId="1310" xr:uid="{00000000-0005-0000-0000-000084050000}"/>
    <cellStyle name="SAPBEXHLevel1 7" xfId="1311" xr:uid="{00000000-0005-0000-0000-000085050000}"/>
    <cellStyle name="SAPBEXHLevel1 8" xfId="1312" xr:uid="{00000000-0005-0000-0000-000086050000}"/>
    <cellStyle name="SAPBEXHLevel1 9" xfId="1313" xr:uid="{00000000-0005-0000-0000-000087050000}"/>
    <cellStyle name="SAPBEXHLevel1_gxaccion, 68" xfId="1314" xr:uid="{00000000-0005-0000-0000-000088050000}"/>
    <cellStyle name="SAPBEXHLevel1X" xfId="1315" xr:uid="{00000000-0005-0000-0000-000089050000}"/>
    <cellStyle name="SAPBEXHLevel1X 10" xfId="1316" xr:uid="{00000000-0005-0000-0000-00008A050000}"/>
    <cellStyle name="SAPBEXHLevel1X 11" xfId="1317" xr:uid="{00000000-0005-0000-0000-00008B050000}"/>
    <cellStyle name="SAPBEXHLevel1X 12" xfId="1796" xr:uid="{00000000-0005-0000-0000-00008C050000}"/>
    <cellStyle name="SAPBEXHLevel1X 2" xfId="1318" xr:uid="{00000000-0005-0000-0000-00008D050000}"/>
    <cellStyle name="SAPBEXHLevel1X 2 2" xfId="1319" xr:uid="{00000000-0005-0000-0000-00008E050000}"/>
    <cellStyle name="SAPBEXHLevel1X 2 2 2" xfId="1320" xr:uid="{00000000-0005-0000-0000-00008F050000}"/>
    <cellStyle name="SAPBEXHLevel1X 2 2 3" xfId="1797" xr:uid="{00000000-0005-0000-0000-000090050000}"/>
    <cellStyle name="SAPBEXHLevel1X 3" xfId="1321" xr:uid="{00000000-0005-0000-0000-000091050000}"/>
    <cellStyle name="SAPBEXHLevel1X 4" xfId="1322" xr:uid="{00000000-0005-0000-0000-000092050000}"/>
    <cellStyle name="SAPBEXHLevel1X 5" xfId="1323" xr:uid="{00000000-0005-0000-0000-000093050000}"/>
    <cellStyle name="SAPBEXHLevel1X 6" xfId="1324" xr:uid="{00000000-0005-0000-0000-000094050000}"/>
    <cellStyle name="SAPBEXHLevel1X 7" xfId="1325" xr:uid="{00000000-0005-0000-0000-000095050000}"/>
    <cellStyle name="SAPBEXHLevel1X 8" xfId="1326" xr:uid="{00000000-0005-0000-0000-000096050000}"/>
    <cellStyle name="SAPBEXHLevel1X 9" xfId="1327" xr:uid="{00000000-0005-0000-0000-000097050000}"/>
    <cellStyle name="SAPBEXHLevel1X_gxaccion, 68" xfId="1328" xr:uid="{00000000-0005-0000-0000-000098050000}"/>
    <cellStyle name="SAPBEXHLevel2" xfId="1329" xr:uid="{00000000-0005-0000-0000-000099050000}"/>
    <cellStyle name="SAPBEXHLevel2 10" xfId="1330" xr:uid="{00000000-0005-0000-0000-00009A050000}"/>
    <cellStyle name="SAPBEXHLevel2 11" xfId="1331" xr:uid="{00000000-0005-0000-0000-00009B050000}"/>
    <cellStyle name="SAPBEXHLevel2 12" xfId="1798" xr:uid="{00000000-0005-0000-0000-00009C050000}"/>
    <cellStyle name="SAPBEXHLevel2 2" xfId="1332" xr:uid="{00000000-0005-0000-0000-00009D050000}"/>
    <cellStyle name="SAPBEXHLevel2 2 2" xfId="1333" xr:uid="{00000000-0005-0000-0000-00009E050000}"/>
    <cellStyle name="SAPBEXHLevel2 2 2 2" xfId="1334" xr:uid="{00000000-0005-0000-0000-00009F050000}"/>
    <cellStyle name="SAPBEXHLevel2 2 2 3" xfId="1799" xr:uid="{00000000-0005-0000-0000-0000A0050000}"/>
    <cellStyle name="SAPBEXHLevel2 3" xfId="1335" xr:uid="{00000000-0005-0000-0000-0000A1050000}"/>
    <cellStyle name="SAPBEXHLevel2 4" xfId="1336" xr:uid="{00000000-0005-0000-0000-0000A2050000}"/>
    <cellStyle name="SAPBEXHLevel2 5" xfId="1337" xr:uid="{00000000-0005-0000-0000-0000A3050000}"/>
    <cellStyle name="SAPBEXHLevel2 6" xfId="1338" xr:uid="{00000000-0005-0000-0000-0000A4050000}"/>
    <cellStyle name="SAPBEXHLevel2 7" xfId="1339" xr:uid="{00000000-0005-0000-0000-0000A5050000}"/>
    <cellStyle name="SAPBEXHLevel2 8" xfId="1340" xr:uid="{00000000-0005-0000-0000-0000A6050000}"/>
    <cellStyle name="SAPBEXHLevel2 9" xfId="1341" xr:uid="{00000000-0005-0000-0000-0000A7050000}"/>
    <cellStyle name="SAPBEXHLevel2_gxaccion, 68" xfId="1342" xr:uid="{00000000-0005-0000-0000-0000A8050000}"/>
    <cellStyle name="SAPBEXHLevel2X" xfId="1343" xr:uid="{00000000-0005-0000-0000-0000A9050000}"/>
    <cellStyle name="SAPBEXHLevel2X 10" xfId="1344" xr:uid="{00000000-0005-0000-0000-0000AA050000}"/>
    <cellStyle name="SAPBEXHLevel2X 11" xfId="1345" xr:uid="{00000000-0005-0000-0000-0000AB050000}"/>
    <cellStyle name="SAPBEXHLevel2X 12" xfId="1800" xr:uid="{00000000-0005-0000-0000-0000AC050000}"/>
    <cellStyle name="SAPBEXHLevel2X 2" xfId="1346" xr:uid="{00000000-0005-0000-0000-0000AD050000}"/>
    <cellStyle name="SAPBEXHLevel2X 2 2" xfId="1347" xr:uid="{00000000-0005-0000-0000-0000AE050000}"/>
    <cellStyle name="SAPBEXHLevel2X 2 2 2" xfId="1348" xr:uid="{00000000-0005-0000-0000-0000AF050000}"/>
    <cellStyle name="SAPBEXHLevel2X 2 2 3" xfId="1801" xr:uid="{00000000-0005-0000-0000-0000B0050000}"/>
    <cellStyle name="SAPBEXHLevel2X 3" xfId="1349" xr:uid="{00000000-0005-0000-0000-0000B1050000}"/>
    <cellStyle name="SAPBEXHLevel2X 4" xfId="1350" xr:uid="{00000000-0005-0000-0000-0000B2050000}"/>
    <cellStyle name="SAPBEXHLevel2X 5" xfId="1351" xr:uid="{00000000-0005-0000-0000-0000B3050000}"/>
    <cellStyle name="SAPBEXHLevel2X 6" xfId="1352" xr:uid="{00000000-0005-0000-0000-0000B4050000}"/>
    <cellStyle name="SAPBEXHLevel2X 7" xfId="1353" xr:uid="{00000000-0005-0000-0000-0000B5050000}"/>
    <cellStyle name="SAPBEXHLevel2X 8" xfId="1354" xr:uid="{00000000-0005-0000-0000-0000B6050000}"/>
    <cellStyle name="SAPBEXHLevel2X 9" xfId="1355" xr:uid="{00000000-0005-0000-0000-0000B7050000}"/>
    <cellStyle name="SAPBEXHLevel2X_gxaccion, 68" xfId="1356" xr:uid="{00000000-0005-0000-0000-0000B8050000}"/>
    <cellStyle name="SAPBEXHLevel3" xfId="1357" xr:uid="{00000000-0005-0000-0000-0000B9050000}"/>
    <cellStyle name="SAPBEXHLevel3 10" xfId="1358" xr:uid="{00000000-0005-0000-0000-0000BA050000}"/>
    <cellStyle name="SAPBEXHLevel3 11" xfId="1359" xr:uid="{00000000-0005-0000-0000-0000BB050000}"/>
    <cellStyle name="SAPBEXHLevel3 12" xfId="1802" xr:uid="{00000000-0005-0000-0000-0000BC050000}"/>
    <cellStyle name="SAPBEXHLevel3 2" xfId="1360" xr:uid="{00000000-0005-0000-0000-0000BD050000}"/>
    <cellStyle name="SAPBEXHLevel3 2 2" xfId="1361" xr:uid="{00000000-0005-0000-0000-0000BE050000}"/>
    <cellStyle name="SAPBEXHLevel3 2 2 2" xfId="1362" xr:uid="{00000000-0005-0000-0000-0000BF050000}"/>
    <cellStyle name="SAPBEXHLevel3 2 2 3" xfId="1803" xr:uid="{00000000-0005-0000-0000-0000C0050000}"/>
    <cellStyle name="SAPBEXHLevel3 3" xfId="1363" xr:uid="{00000000-0005-0000-0000-0000C1050000}"/>
    <cellStyle name="SAPBEXHLevel3 4" xfId="1364" xr:uid="{00000000-0005-0000-0000-0000C2050000}"/>
    <cellStyle name="SAPBEXHLevel3 5" xfId="1365" xr:uid="{00000000-0005-0000-0000-0000C3050000}"/>
    <cellStyle name="SAPBEXHLevel3 6" xfId="1366" xr:uid="{00000000-0005-0000-0000-0000C4050000}"/>
    <cellStyle name="SAPBEXHLevel3 7" xfId="1367" xr:uid="{00000000-0005-0000-0000-0000C5050000}"/>
    <cellStyle name="SAPBEXHLevel3 8" xfId="1368" xr:uid="{00000000-0005-0000-0000-0000C6050000}"/>
    <cellStyle name="SAPBEXHLevel3 9" xfId="1369" xr:uid="{00000000-0005-0000-0000-0000C7050000}"/>
    <cellStyle name="SAPBEXHLevel3_gxaccion, 68" xfId="1370" xr:uid="{00000000-0005-0000-0000-0000C8050000}"/>
    <cellStyle name="SAPBEXHLevel3X" xfId="1371" xr:uid="{00000000-0005-0000-0000-0000C9050000}"/>
    <cellStyle name="SAPBEXHLevel3X 10" xfId="1372" xr:uid="{00000000-0005-0000-0000-0000CA050000}"/>
    <cellStyle name="SAPBEXHLevel3X 11" xfId="1373" xr:uid="{00000000-0005-0000-0000-0000CB050000}"/>
    <cellStyle name="SAPBEXHLevel3X 12" xfId="1804" xr:uid="{00000000-0005-0000-0000-0000CC050000}"/>
    <cellStyle name="SAPBEXHLevel3X 2" xfId="1374" xr:uid="{00000000-0005-0000-0000-0000CD050000}"/>
    <cellStyle name="SAPBEXHLevel3X 2 2" xfId="1375" xr:uid="{00000000-0005-0000-0000-0000CE050000}"/>
    <cellStyle name="SAPBEXHLevel3X 2 2 2" xfId="1376" xr:uid="{00000000-0005-0000-0000-0000CF050000}"/>
    <cellStyle name="SAPBEXHLevel3X 2 2 3" xfId="1805" xr:uid="{00000000-0005-0000-0000-0000D0050000}"/>
    <cellStyle name="SAPBEXHLevel3X 3" xfId="1377" xr:uid="{00000000-0005-0000-0000-0000D1050000}"/>
    <cellStyle name="SAPBEXHLevel3X 4" xfId="1378" xr:uid="{00000000-0005-0000-0000-0000D2050000}"/>
    <cellStyle name="SAPBEXHLevel3X 5" xfId="1379" xr:uid="{00000000-0005-0000-0000-0000D3050000}"/>
    <cellStyle name="SAPBEXHLevel3X 6" xfId="1380" xr:uid="{00000000-0005-0000-0000-0000D4050000}"/>
    <cellStyle name="SAPBEXHLevel3X 7" xfId="1381" xr:uid="{00000000-0005-0000-0000-0000D5050000}"/>
    <cellStyle name="SAPBEXHLevel3X 8" xfId="1382" xr:uid="{00000000-0005-0000-0000-0000D6050000}"/>
    <cellStyle name="SAPBEXHLevel3X 9" xfId="1383" xr:uid="{00000000-0005-0000-0000-0000D7050000}"/>
    <cellStyle name="SAPBEXHLevel3X_gxaccion, 68" xfId="1384" xr:uid="{00000000-0005-0000-0000-0000D8050000}"/>
    <cellStyle name="SAPBEXinputData" xfId="1385" xr:uid="{00000000-0005-0000-0000-0000D9050000}"/>
    <cellStyle name="SAPBEXinputData 10" xfId="1386" xr:uid="{00000000-0005-0000-0000-0000DA050000}"/>
    <cellStyle name="SAPBEXinputData 11" xfId="1387" xr:uid="{00000000-0005-0000-0000-0000DB050000}"/>
    <cellStyle name="SAPBEXinputData 12" xfId="1806" xr:uid="{00000000-0005-0000-0000-0000DC050000}"/>
    <cellStyle name="SAPBEXinputData 2" xfId="1388" xr:uid="{00000000-0005-0000-0000-0000DD050000}"/>
    <cellStyle name="SAPBEXinputData 2 2" xfId="1389" xr:uid="{00000000-0005-0000-0000-0000DE050000}"/>
    <cellStyle name="SAPBEXinputData 2 2 2" xfId="1390" xr:uid="{00000000-0005-0000-0000-0000DF050000}"/>
    <cellStyle name="SAPBEXinputData 2 2 3" xfId="1807" xr:uid="{00000000-0005-0000-0000-0000E0050000}"/>
    <cellStyle name="SAPBEXinputData 3" xfId="1391" xr:uid="{00000000-0005-0000-0000-0000E1050000}"/>
    <cellStyle name="SAPBEXinputData 4" xfId="1392" xr:uid="{00000000-0005-0000-0000-0000E2050000}"/>
    <cellStyle name="SAPBEXinputData 5" xfId="1393" xr:uid="{00000000-0005-0000-0000-0000E3050000}"/>
    <cellStyle name="SAPBEXinputData 6" xfId="1394" xr:uid="{00000000-0005-0000-0000-0000E4050000}"/>
    <cellStyle name="SAPBEXinputData 7" xfId="1395" xr:uid="{00000000-0005-0000-0000-0000E5050000}"/>
    <cellStyle name="SAPBEXinputData 8" xfId="1396" xr:uid="{00000000-0005-0000-0000-0000E6050000}"/>
    <cellStyle name="SAPBEXinputData 9" xfId="1397" xr:uid="{00000000-0005-0000-0000-0000E7050000}"/>
    <cellStyle name="SAPBEXinputData_gxaccion, 68" xfId="1398" xr:uid="{00000000-0005-0000-0000-0000E8050000}"/>
    <cellStyle name="SAPBEXItemHeader" xfId="1399" xr:uid="{00000000-0005-0000-0000-0000E9050000}"/>
    <cellStyle name="SAPBEXresData" xfId="1400" xr:uid="{00000000-0005-0000-0000-0000EA050000}"/>
    <cellStyle name="SAPBEXresData 10" xfId="1401" xr:uid="{00000000-0005-0000-0000-0000EB050000}"/>
    <cellStyle name="SAPBEXresData 11" xfId="1402" xr:uid="{00000000-0005-0000-0000-0000EC050000}"/>
    <cellStyle name="SAPBEXresData 2" xfId="1403" xr:uid="{00000000-0005-0000-0000-0000ED050000}"/>
    <cellStyle name="SAPBEXresData 2 2" xfId="1404" xr:uid="{00000000-0005-0000-0000-0000EE050000}"/>
    <cellStyle name="SAPBEXresData 2 2 2" xfId="1405" xr:uid="{00000000-0005-0000-0000-0000EF050000}"/>
    <cellStyle name="SAPBEXresData 3" xfId="1406" xr:uid="{00000000-0005-0000-0000-0000F0050000}"/>
    <cellStyle name="SAPBEXresData 4" xfId="1407" xr:uid="{00000000-0005-0000-0000-0000F1050000}"/>
    <cellStyle name="SAPBEXresData 5" xfId="1408" xr:uid="{00000000-0005-0000-0000-0000F2050000}"/>
    <cellStyle name="SAPBEXresData 6" xfId="1409" xr:uid="{00000000-0005-0000-0000-0000F3050000}"/>
    <cellStyle name="SAPBEXresData 7" xfId="1410" xr:uid="{00000000-0005-0000-0000-0000F4050000}"/>
    <cellStyle name="SAPBEXresData 8" xfId="1411" xr:uid="{00000000-0005-0000-0000-0000F5050000}"/>
    <cellStyle name="SAPBEXresData 9" xfId="1412" xr:uid="{00000000-0005-0000-0000-0000F6050000}"/>
    <cellStyle name="SAPBEXresData_valor justo.junio2010" xfId="1413" xr:uid="{00000000-0005-0000-0000-0000F7050000}"/>
    <cellStyle name="SAPBEXresDataEmph" xfId="1414" xr:uid="{00000000-0005-0000-0000-0000F8050000}"/>
    <cellStyle name="SAPBEXresDataEmph 10" xfId="1415" xr:uid="{00000000-0005-0000-0000-0000F9050000}"/>
    <cellStyle name="SAPBEXresDataEmph 11" xfId="1416" xr:uid="{00000000-0005-0000-0000-0000FA050000}"/>
    <cellStyle name="SAPBEXresDataEmph 2" xfId="1417" xr:uid="{00000000-0005-0000-0000-0000FB050000}"/>
    <cellStyle name="SAPBEXresDataEmph 2 2" xfId="1418" xr:uid="{00000000-0005-0000-0000-0000FC050000}"/>
    <cellStyle name="SAPBEXresDataEmph 2 2 2" xfId="1419" xr:uid="{00000000-0005-0000-0000-0000FD050000}"/>
    <cellStyle name="SAPBEXresDataEmph 3" xfId="1420" xr:uid="{00000000-0005-0000-0000-0000FE050000}"/>
    <cellStyle name="SAPBEXresDataEmph 4" xfId="1421" xr:uid="{00000000-0005-0000-0000-0000FF050000}"/>
    <cellStyle name="SAPBEXresDataEmph 5" xfId="1422" xr:uid="{00000000-0005-0000-0000-000000060000}"/>
    <cellStyle name="SAPBEXresDataEmph 6" xfId="1423" xr:uid="{00000000-0005-0000-0000-000001060000}"/>
    <cellStyle name="SAPBEXresDataEmph 7" xfId="1424" xr:uid="{00000000-0005-0000-0000-000002060000}"/>
    <cellStyle name="SAPBEXresDataEmph 8" xfId="1425" xr:uid="{00000000-0005-0000-0000-000003060000}"/>
    <cellStyle name="SAPBEXresDataEmph 9" xfId="1426" xr:uid="{00000000-0005-0000-0000-000004060000}"/>
    <cellStyle name="SAPBEXresDataEmph_valor justo.junio2010" xfId="1427" xr:uid="{00000000-0005-0000-0000-000005060000}"/>
    <cellStyle name="SAPBEXresItem" xfId="1428" xr:uid="{00000000-0005-0000-0000-000006060000}"/>
    <cellStyle name="SAPBEXresItem 10" xfId="1429" xr:uid="{00000000-0005-0000-0000-000007060000}"/>
    <cellStyle name="SAPBEXresItem 11" xfId="1430" xr:uid="{00000000-0005-0000-0000-000008060000}"/>
    <cellStyle name="SAPBEXresItem 2" xfId="1431" xr:uid="{00000000-0005-0000-0000-000009060000}"/>
    <cellStyle name="SAPBEXresItem 2 2" xfId="1432" xr:uid="{00000000-0005-0000-0000-00000A060000}"/>
    <cellStyle name="SAPBEXresItem 2 2 2" xfId="1433" xr:uid="{00000000-0005-0000-0000-00000B060000}"/>
    <cellStyle name="SAPBEXresItem 3" xfId="1434" xr:uid="{00000000-0005-0000-0000-00000C060000}"/>
    <cellStyle name="SAPBEXresItem 4" xfId="1435" xr:uid="{00000000-0005-0000-0000-00000D060000}"/>
    <cellStyle name="SAPBEXresItem 5" xfId="1436" xr:uid="{00000000-0005-0000-0000-00000E060000}"/>
    <cellStyle name="SAPBEXresItem 6" xfId="1437" xr:uid="{00000000-0005-0000-0000-00000F060000}"/>
    <cellStyle name="SAPBEXresItem 7" xfId="1438" xr:uid="{00000000-0005-0000-0000-000010060000}"/>
    <cellStyle name="SAPBEXresItem 8" xfId="1439" xr:uid="{00000000-0005-0000-0000-000011060000}"/>
    <cellStyle name="SAPBEXresItem 9" xfId="1440" xr:uid="{00000000-0005-0000-0000-000012060000}"/>
    <cellStyle name="SAPBEXresItem_valor justo.junio2010" xfId="1441" xr:uid="{00000000-0005-0000-0000-000013060000}"/>
    <cellStyle name="SAPBEXresItemX" xfId="1442" xr:uid="{00000000-0005-0000-0000-000014060000}"/>
    <cellStyle name="SAPBEXresItemX 10" xfId="1443" xr:uid="{00000000-0005-0000-0000-000015060000}"/>
    <cellStyle name="SAPBEXresItemX 11" xfId="1444" xr:uid="{00000000-0005-0000-0000-000016060000}"/>
    <cellStyle name="SAPBEXresItemX 2" xfId="1445" xr:uid="{00000000-0005-0000-0000-000017060000}"/>
    <cellStyle name="SAPBEXresItemX 2 2" xfId="1446" xr:uid="{00000000-0005-0000-0000-000018060000}"/>
    <cellStyle name="SAPBEXresItemX 2 2 2" xfId="1447" xr:uid="{00000000-0005-0000-0000-000019060000}"/>
    <cellStyle name="SAPBEXresItemX 3" xfId="1448" xr:uid="{00000000-0005-0000-0000-00001A060000}"/>
    <cellStyle name="SAPBEXresItemX 4" xfId="1449" xr:uid="{00000000-0005-0000-0000-00001B060000}"/>
    <cellStyle name="SAPBEXresItemX 5" xfId="1450" xr:uid="{00000000-0005-0000-0000-00001C060000}"/>
    <cellStyle name="SAPBEXresItemX 6" xfId="1451" xr:uid="{00000000-0005-0000-0000-00001D060000}"/>
    <cellStyle name="SAPBEXresItemX 7" xfId="1452" xr:uid="{00000000-0005-0000-0000-00001E060000}"/>
    <cellStyle name="SAPBEXresItemX 8" xfId="1453" xr:uid="{00000000-0005-0000-0000-00001F060000}"/>
    <cellStyle name="SAPBEXresItemX 9" xfId="1454" xr:uid="{00000000-0005-0000-0000-000020060000}"/>
    <cellStyle name="SAPBEXresItemX_valor justo.junio2010" xfId="1455" xr:uid="{00000000-0005-0000-0000-000021060000}"/>
    <cellStyle name="SAPBEXstdData" xfId="1456" xr:uid="{00000000-0005-0000-0000-000022060000}"/>
    <cellStyle name="SAPBEXstdData 10" xfId="1457" xr:uid="{00000000-0005-0000-0000-000023060000}"/>
    <cellStyle name="SAPBEXstdData 11" xfId="1458" xr:uid="{00000000-0005-0000-0000-000024060000}"/>
    <cellStyle name="SAPBEXstdData 2" xfId="1459" xr:uid="{00000000-0005-0000-0000-000025060000}"/>
    <cellStyle name="SAPBEXstdData 2 2" xfId="1460" xr:uid="{00000000-0005-0000-0000-000026060000}"/>
    <cellStyle name="SAPBEXstdData 2 2 2" xfId="1461" xr:uid="{00000000-0005-0000-0000-000027060000}"/>
    <cellStyle name="SAPBEXstdData 3" xfId="1462" xr:uid="{00000000-0005-0000-0000-000028060000}"/>
    <cellStyle name="SAPBEXstdData 4" xfId="1463" xr:uid="{00000000-0005-0000-0000-000029060000}"/>
    <cellStyle name="SAPBEXstdData 5" xfId="1464" xr:uid="{00000000-0005-0000-0000-00002A060000}"/>
    <cellStyle name="SAPBEXstdData 6" xfId="1465" xr:uid="{00000000-0005-0000-0000-00002B060000}"/>
    <cellStyle name="SAPBEXstdData 7" xfId="1466" xr:uid="{00000000-0005-0000-0000-00002C060000}"/>
    <cellStyle name="SAPBEXstdData 8" xfId="1467" xr:uid="{00000000-0005-0000-0000-00002D060000}"/>
    <cellStyle name="SAPBEXstdData 9" xfId="1468" xr:uid="{00000000-0005-0000-0000-00002E060000}"/>
    <cellStyle name="SAPBEXstdData_gxaccion, 68" xfId="1469" xr:uid="{00000000-0005-0000-0000-00002F060000}"/>
    <cellStyle name="SAPBEXstdDataEmph" xfId="1470" xr:uid="{00000000-0005-0000-0000-000030060000}"/>
    <cellStyle name="SAPBEXstdDataEmph 10" xfId="1471" xr:uid="{00000000-0005-0000-0000-000031060000}"/>
    <cellStyle name="SAPBEXstdDataEmph 11" xfId="1472" xr:uid="{00000000-0005-0000-0000-000032060000}"/>
    <cellStyle name="SAPBEXstdDataEmph 2" xfId="1473" xr:uid="{00000000-0005-0000-0000-000033060000}"/>
    <cellStyle name="SAPBEXstdDataEmph 2 2" xfId="1474" xr:uid="{00000000-0005-0000-0000-000034060000}"/>
    <cellStyle name="SAPBEXstdDataEmph 2 2 2" xfId="1475" xr:uid="{00000000-0005-0000-0000-000035060000}"/>
    <cellStyle name="SAPBEXstdDataEmph 3" xfId="1476" xr:uid="{00000000-0005-0000-0000-000036060000}"/>
    <cellStyle name="SAPBEXstdDataEmph 4" xfId="1477" xr:uid="{00000000-0005-0000-0000-000037060000}"/>
    <cellStyle name="SAPBEXstdDataEmph 5" xfId="1478" xr:uid="{00000000-0005-0000-0000-000038060000}"/>
    <cellStyle name="SAPBEXstdDataEmph 6" xfId="1479" xr:uid="{00000000-0005-0000-0000-000039060000}"/>
    <cellStyle name="SAPBEXstdDataEmph 7" xfId="1480" xr:uid="{00000000-0005-0000-0000-00003A060000}"/>
    <cellStyle name="SAPBEXstdDataEmph 8" xfId="1481" xr:uid="{00000000-0005-0000-0000-00003B060000}"/>
    <cellStyle name="SAPBEXstdDataEmph 9" xfId="1482" xr:uid="{00000000-0005-0000-0000-00003C060000}"/>
    <cellStyle name="SAPBEXstdDataEmph_valor justo.junio2010" xfId="1483" xr:uid="{00000000-0005-0000-0000-00003D060000}"/>
    <cellStyle name="SAPBEXstdItem" xfId="1484" xr:uid="{00000000-0005-0000-0000-00003E060000}"/>
    <cellStyle name="SAPBEXstdItem 10" xfId="1485" xr:uid="{00000000-0005-0000-0000-00003F060000}"/>
    <cellStyle name="SAPBEXstdItem 10 2" xfId="1808" xr:uid="{00000000-0005-0000-0000-000040060000}"/>
    <cellStyle name="SAPBEXstdItem 11" xfId="1486" xr:uid="{00000000-0005-0000-0000-000041060000}"/>
    <cellStyle name="SAPBEXstdItem 11 2" xfId="1809" xr:uid="{00000000-0005-0000-0000-000042060000}"/>
    <cellStyle name="SAPBEXstdItem 2" xfId="1487" xr:uid="{00000000-0005-0000-0000-000043060000}"/>
    <cellStyle name="SAPBEXstdItem 2 2" xfId="1488" xr:uid="{00000000-0005-0000-0000-000044060000}"/>
    <cellStyle name="SAPBEXstdItem 2 2 2" xfId="1489" xr:uid="{00000000-0005-0000-0000-000045060000}"/>
    <cellStyle name="SAPBEXstdItem 3" xfId="1490" xr:uid="{00000000-0005-0000-0000-000046060000}"/>
    <cellStyle name="SAPBEXstdItem 4" xfId="1491" xr:uid="{00000000-0005-0000-0000-000047060000}"/>
    <cellStyle name="SAPBEXstdItem 5" xfId="1492" xr:uid="{00000000-0005-0000-0000-000048060000}"/>
    <cellStyle name="SAPBEXstdItem 6" xfId="1493" xr:uid="{00000000-0005-0000-0000-000049060000}"/>
    <cellStyle name="SAPBEXstdItem 7" xfId="1494" xr:uid="{00000000-0005-0000-0000-00004A060000}"/>
    <cellStyle name="SAPBEXstdItem 7 2" xfId="1810" xr:uid="{00000000-0005-0000-0000-00004B060000}"/>
    <cellStyle name="SAPBEXstdItem 8" xfId="1495" xr:uid="{00000000-0005-0000-0000-00004C060000}"/>
    <cellStyle name="SAPBEXstdItem 8 2" xfId="1811" xr:uid="{00000000-0005-0000-0000-00004D060000}"/>
    <cellStyle name="SAPBEXstdItem 9" xfId="1496" xr:uid="{00000000-0005-0000-0000-00004E060000}"/>
    <cellStyle name="SAPBEXstdItem 9 2" xfId="1812" xr:uid="{00000000-0005-0000-0000-00004F060000}"/>
    <cellStyle name="SAPBEXstdItem_gxaccion, 68" xfId="1497" xr:uid="{00000000-0005-0000-0000-000050060000}"/>
    <cellStyle name="SAPBEXstdItemX" xfId="1498" xr:uid="{00000000-0005-0000-0000-000051060000}"/>
    <cellStyle name="SAPBEXstdItemX 10" xfId="1499" xr:uid="{00000000-0005-0000-0000-000052060000}"/>
    <cellStyle name="SAPBEXstdItemX 11" xfId="1500" xr:uid="{00000000-0005-0000-0000-000053060000}"/>
    <cellStyle name="SAPBEXstdItemX 2" xfId="1501" xr:uid="{00000000-0005-0000-0000-000054060000}"/>
    <cellStyle name="SAPBEXstdItemX 2 2" xfId="1502" xr:uid="{00000000-0005-0000-0000-000055060000}"/>
    <cellStyle name="SAPBEXstdItemX 2 2 2" xfId="1503" xr:uid="{00000000-0005-0000-0000-000056060000}"/>
    <cellStyle name="SAPBEXstdItemX 3" xfId="1504" xr:uid="{00000000-0005-0000-0000-000057060000}"/>
    <cellStyle name="SAPBEXstdItemX 4" xfId="1505" xr:uid="{00000000-0005-0000-0000-000058060000}"/>
    <cellStyle name="SAPBEXstdItemX 5" xfId="1506" xr:uid="{00000000-0005-0000-0000-000059060000}"/>
    <cellStyle name="SAPBEXstdItemX 6" xfId="1507" xr:uid="{00000000-0005-0000-0000-00005A060000}"/>
    <cellStyle name="SAPBEXstdItemX 7" xfId="1508" xr:uid="{00000000-0005-0000-0000-00005B060000}"/>
    <cellStyle name="SAPBEXstdItemX 8" xfId="1509" xr:uid="{00000000-0005-0000-0000-00005C060000}"/>
    <cellStyle name="SAPBEXstdItemX 9" xfId="1510" xr:uid="{00000000-0005-0000-0000-00005D060000}"/>
    <cellStyle name="SAPBEXstdItemX_valor justo.junio2010" xfId="1511" xr:uid="{00000000-0005-0000-0000-00005E060000}"/>
    <cellStyle name="SAPBEXtitle" xfId="1512" xr:uid="{00000000-0005-0000-0000-00005F060000}"/>
    <cellStyle name="SAPBEXtitle 10" xfId="1513" xr:uid="{00000000-0005-0000-0000-000060060000}"/>
    <cellStyle name="SAPBEXtitle 11" xfId="1514" xr:uid="{00000000-0005-0000-0000-000061060000}"/>
    <cellStyle name="SAPBEXtitle 2" xfId="1515" xr:uid="{00000000-0005-0000-0000-000062060000}"/>
    <cellStyle name="SAPBEXtitle 2 2" xfId="1516" xr:uid="{00000000-0005-0000-0000-000063060000}"/>
    <cellStyle name="SAPBEXtitle 2 2 2" xfId="1517" xr:uid="{00000000-0005-0000-0000-000064060000}"/>
    <cellStyle name="SAPBEXtitle 3" xfId="1518" xr:uid="{00000000-0005-0000-0000-000065060000}"/>
    <cellStyle name="SAPBEXtitle 4" xfId="1519" xr:uid="{00000000-0005-0000-0000-000066060000}"/>
    <cellStyle name="SAPBEXtitle 5" xfId="1520" xr:uid="{00000000-0005-0000-0000-000067060000}"/>
    <cellStyle name="SAPBEXtitle 6" xfId="1521" xr:uid="{00000000-0005-0000-0000-000068060000}"/>
    <cellStyle name="SAPBEXtitle 7" xfId="1522" xr:uid="{00000000-0005-0000-0000-000069060000}"/>
    <cellStyle name="SAPBEXtitle 8" xfId="1523" xr:uid="{00000000-0005-0000-0000-00006A060000}"/>
    <cellStyle name="SAPBEXtitle 9" xfId="1524" xr:uid="{00000000-0005-0000-0000-00006B060000}"/>
    <cellStyle name="SAPBEXunassignedItem" xfId="1525" xr:uid="{00000000-0005-0000-0000-00006C060000}"/>
    <cellStyle name="SAPBEXunassignedItem 2" xfId="1526" xr:uid="{00000000-0005-0000-0000-00006D060000}"/>
    <cellStyle name="SAPBEXunassignedItem 3" xfId="1527" xr:uid="{00000000-0005-0000-0000-00006E060000}"/>
    <cellStyle name="SAPBEXunassignedItem 4" xfId="1528" xr:uid="{00000000-0005-0000-0000-00006F060000}"/>
    <cellStyle name="SAPBEXunassignedItem 5" xfId="1529" xr:uid="{00000000-0005-0000-0000-000070060000}"/>
    <cellStyle name="SAPBEXundefined" xfId="1530" xr:uid="{00000000-0005-0000-0000-000071060000}"/>
    <cellStyle name="SAPBEXundefined 10" xfId="1531" xr:uid="{00000000-0005-0000-0000-000072060000}"/>
    <cellStyle name="SAPBEXundefined 11" xfId="1532" xr:uid="{00000000-0005-0000-0000-000073060000}"/>
    <cellStyle name="SAPBEXundefined 2" xfId="1533" xr:uid="{00000000-0005-0000-0000-000074060000}"/>
    <cellStyle name="SAPBEXundefined 2 2" xfId="1534" xr:uid="{00000000-0005-0000-0000-000075060000}"/>
    <cellStyle name="SAPBEXundefined 2 2 2" xfId="1535" xr:uid="{00000000-0005-0000-0000-000076060000}"/>
    <cellStyle name="SAPBEXundefined 3" xfId="1536" xr:uid="{00000000-0005-0000-0000-000077060000}"/>
    <cellStyle name="SAPBEXundefined 4" xfId="1537" xr:uid="{00000000-0005-0000-0000-000078060000}"/>
    <cellStyle name="SAPBEXundefined 5" xfId="1538" xr:uid="{00000000-0005-0000-0000-000079060000}"/>
    <cellStyle name="SAPBEXundefined 6" xfId="1539" xr:uid="{00000000-0005-0000-0000-00007A060000}"/>
    <cellStyle name="SAPBEXundefined 7" xfId="1540" xr:uid="{00000000-0005-0000-0000-00007B060000}"/>
    <cellStyle name="SAPBEXundefined 8" xfId="1541" xr:uid="{00000000-0005-0000-0000-00007C060000}"/>
    <cellStyle name="SAPBEXundefined 9" xfId="1542" xr:uid="{00000000-0005-0000-0000-00007D060000}"/>
    <cellStyle name="SAPBEXundefined_valor justo.junio2010" xfId="1543" xr:uid="{00000000-0005-0000-0000-00007E060000}"/>
    <cellStyle name="Sheet Title" xfId="1544" xr:uid="{00000000-0005-0000-0000-00007F060000}"/>
    <cellStyle name="Suma" xfId="1545" xr:uid="{00000000-0005-0000-0000-000080060000}"/>
    <cellStyle name="Tekst obja?nienia" xfId="1546" xr:uid="{00000000-0005-0000-0000-000081060000}"/>
    <cellStyle name="Tekst objaśnienia" xfId="1547" xr:uid="{00000000-0005-0000-0000-000082060000}"/>
    <cellStyle name="Tekst ostrze?enia" xfId="1548" xr:uid="{00000000-0005-0000-0000-000083060000}"/>
    <cellStyle name="Tekst ostrzeżenia" xfId="1549" xr:uid="{00000000-0005-0000-0000-000084060000}"/>
    <cellStyle name="Texto de advertencia" xfId="1550" builtinId="11" customBuiltin="1"/>
    <cellStyle name="Texto de advertencia 2" xfId="1551" xr:uid="{00000000-0005-0000-0000-000086060000}"/>
    <cellStyle name="Texto de advertencia 2 2" xfId="1552" xr:uid="{00000000-0005-0000-0000-000087060000}"/>
    <cellStyle name="Texto de advertencia 2 3" xfId="1553" xr:uid="{00000000-0005-0000-0000-000088060000}"/>
    <cellStyle name="Texto de advertencia 2 4" xfId="1554" xr:uid="{00000000-0005-0000-0000-000089060000}"/>
    <cellStyle name="Texto de advertencia 2 5" xfId="1555" xr:uid="{00000000-0005-0000-0000-00008A060000}"/>
    <cellStyle name="Texto de advertencia 2 6" xfId="1556" xr:uid="{00000000-0005-0000-0000-00008B060000}"/>
    <cellStyle name="Texto de advertencia 3" xfId="1557" xr:uid="{00000000-0005-0000-0000-00008C060000}"/>
    <cellStyle name="Texto de advertencia 3 2" xfId="1558" xr:uid="{00000000-0005-0000-0000-00008D060000}"/>
    <cellStyle name="Texto de advertencia 3 3" xfId="1559" xr:uid="{00000000-0005-0000-0000-00008E060000}"/>
    <cellStyle name="Texto de advertencia 3 4" xfId="1560" xr:uid="{00000000-0005-0000-0000-00008F060000}"/>
    <cellStyle name="Texto de advertencia 3 5" xfId="1561" xr:uid="{00000000-0005-0000-0000-000090060000}"/>
    <cellStyle name="Texto de advertencia 4" xfId="1562" xr:uid="{00000000-0005-0000-0000-000091060000}"/>
    <cellStyle name="Texto de advertencia 4 2" xfId="1563" xr:uid="{00000000-0005-0000-0000-000092060000}"/>
    <cellStyle name="Texto de advertencia 4 3" xfId="1564" xr:uid="{00000000-0005-0000-0000-000093060000}"/>
    <cellStyle name="Texto de advertencia 4 4" xfId="1565" xr:uid="{00000000-0005-0000-0000-000094060000}"/>
    <cellStyle name="Texto de advertencia 4 5" xfId="1566" xr:uid="{00000000-0005-0000-0000-000095060000}"/>
    <cellStyle name="Texto de advertencia 5" xfId="1567" xr:uid="{00000000-0005-0000-0000-000096060000}"/>
    <cellStyle name="Texto de advertencia 5 2" xfId="1568" xr:uid="{00000000-0005-0000-0000-000097060000}"/>
    <cellStyle name="Texto de advertencia 5 3" xfId="1569" xr:uid="{00000000-0005-0000-0000-000098060000}"/>
    <cellStyle name="Texto de advertencia 5 4" xfId="1570" xr:uid="{00000000-0005-0000-0000-000099060000}"/>
    <cellStyle name="Texto de advertencia 5 5" xfId="1571" xr:uid="{00000000-0005-0000-0000-00009A060000}"/>
    <cellStyle name="Texto de advertencia 6" xfId="1572" xr:uid="{00000000-0005-0000-0000-00009B060000}"/>
    <cellStyle name="Texto de advertencia 6 2" xfId="1573" xr:uid="{00000000-0005-0000-0000-00009C060000}"/>
    <cellStyle name="Texto de advertencia 7" xfId="1574" xr:uid="{00000000-0005-0000-0000-00009D060000}"/>
    <cellStyle name="Texto de advertencia 8" xfId="1575" xr:uid="{00000000-0005-0000-0000-00009E060000}"/>
    <cellStyle name="Texto de advertencia 9" xfId="1576" xr:uid="{00000000-0005-0000-0000-00009F060000}"/>
    <cellStyle name="Texto explicativo" xfId="1577" builtinId="53" customBuiltin="1"/>
    <cellStyle name="Texto explicativo 2 2" xfId="1578" xr:uid="{00000000-0005-0000-0000-0000A1060000}"/>
    <cellStyle name="Title" xfId="1579" xr:uid="{00000000-0005-0000-0000-0000A2060000}"/>
    <cellStyle name="Título" xfId="1580" builtinId="15" customBuiltin="1"/>
    <cellStyle name="Título 1 2" xfId="1582" xr:uid="{00000000-0005-0000-0000-0000A4060000}"/>
    <cellStyle name="Título 1 2 2" xfId="1583" xr:uid="{00000000-0005-0000-0000-0000A5060000}"/>
    <cellStyle name="Título 1 2 3" xfId="1584" xr:uid="{00000000-0005-0000-0000-0000A6060000}"/>
    <cellStyle name="Título 1 2 4" xfId="1585" xr:uid="{00000000-0005-0000-0000-0000A7060000}"/>
    <cellStyle name="Título 1 2 5" xfId="1586" xr:uid="{00000000-0005-0000-0000-0000A8060000}"/>
    <cellStyle name="Título 1 2 6" xfId="1587" xr:uid="{00000000-0005-0000-0000-0000A9060000}"/>
    <cellStyle name="Título 1 3" xfId="1588" xr:uid="{00000000-0005-0000-0000-0000AA060000}"/>
    <cellStyle name="Título 1 3 2" xfId="1589" xr:uid="{00000000-0005-0000-0000-0000AB060000}"/>
    <cellStyle name="Título 1 3 3" xfId="1590" xr:uid="{00000000-0005-0000-0000-0000AC060000}"/>
    <cellStyle name="Título 1 3 4" xfId="1591" xr:uid="{00000000-0005-0000-0000-0000AD060000}"/>
    <cellStyle name="Título 1 3 5" xfId="1592" xr:uid="{00000000-0005-0000-0000-0000AE060000}"/>
    <cellStyle name="Título 1 4" xfId="1593" xr:uid="{00000000-0005-0000-0000-0000AF060000}"/>
    <cellStyle name="Título 1 4 2" xfId="1594" xr:uid="{00000000-0005-0000-0000-0000B0060000}"/>
    <cellStyle name="Título 1 4 3" xfId="1595" xr:uid="{00000000-0005-0000-0000-0000B1060000}"/>
    <cellStyle name="Título 1 4 4" xfId="1596" xr:uid="{00000000-0005-0000-0000-0000B2060000}"/>
    <cellStyle name="Título 1 4 5" xfId="1597" xr:uid="{00000000-0005-0000-0000-0000B3060000}"/>
    <cellStyle name="Título 1 5" xfId="1598" xr:uid="{00000000-0005-0000-0000-0000B4060000}"/>
    <cellStyle name="Título 1 5 2" xfId="1599" xr:uid="{00000000-0005-0000-0000-0000B5060000}"/>
    <cellStyle name="Título 1 5 3" xfId="1600" xr:uid="{00000000-0005-0000-0000-0000B6060000}"/>
    <cellStyle name="Título 1 5 4" xfId="1601" xr:uid="{00000000-0005-0000-0000-0000B7060000}"/>
    <cellStyle name="Título 1 5 5" xfId="1602" xr:uid="{00000000-0005-0000-0000-0000B8060000}"/>
    <cellStyle name="Título 1 6" xfId="1603" xr:uid="{00000000-0005-0000-0000-0000B9060000}"/>
    <cellStyle name="Título 1 7" xfId="1604" xr:uid="{00000000-0005-0000-0000-0000BA060000}"/>
    <cellStyle name="Título 1 8" xfId="1605" xr:uid="{00000000-0005-0000-0000-0000BB060000}"/>
    <cellStyle name="Título 1 9" xfId="1606" xr:uid="{00000000-0005-0000-0000-0000BC060000}"/>
    <cellStyle name="Título 2" xfId="1607" builtinId="17" customBuiltin="1"/>
    <cellStyle name="Título 2 2" xfId="1608" xr:uid="{00000000-0005-0000-0000-0000BE060000}"/>
    <cellStyle name="Título 2 2 2" xfId="1609" xr:uid="{00000000-0005-0000-0000-0000BF060000}"/>
    <cellStyle name="Título 2 2 3" xfId="1610" xr:uid="{00000000-0005-0000-0000-0000C0060000}"/>
    <cellStyle name="Título 2 2 4" xfId="1611" xr:uid="{00000000-0005-0000-0000-0000C1060000}"/>
    <cellStyle name="Título 2 2 5" xfId="1612" xr:uid="{00000000-0005-0000-0000-0000C2060000}"/>
    <cellStyle name="Título 2 2 6" xfId="1613" xr:uid="{00000000-0005-0000-0000-0000C3060000}"/>
    <cellStyle name="Título 2 3" xfId="1614" xr:uid="{00000000-0005-0000-0000-0000C4060000}"/>
    <cellStyle name="Título 2 3 2" xfId="1615" xr:uid="{00000000-0005-0000-0000-0000C5060000}"/>
    <cellStyle name="Título 2 3 3" xfId="1616" xr:uid="{00000000-0005-0000-0000-0000C6060000}"/>
    <cellStyle name="Título 2 3 4" xfId="1617" xr:uid="{00000000-0005-0000-0000-0000C7060000}"/>
    <cellStyle name="Título 2 3 5" xfId="1618" xr:uid="{00000000-0005-0000-0000-0000C8060000}"/>
    <cellStyle name="Título 2 4" xfId="1619" xr:uid="{00000000-0005-0000-0000-0000C9060000}"/>
    <cellStyle name="Título 2 4 2" xfId="1620" xr:uid="{00000000-0005-0000-0000-0000CA060000}"/>
    <cellStyle name="Título 2 4 3" xfId="1621" xr:uid="{00000000-0005-0000-0000-0000CB060000}"/>
    <cellStyle name="Título 2 4 4" xfId="1622" xr:uid="{00000000-0005-0000-0000-0000CC060000}"/>
    <cellStyle name="Título 2 4 5" xfId="1623" xr:uid="{00000000-0005-0000-0000-0000CD060000}"/>
    <cellStyle name="Título 2 5" xfId="1624" xr:uid="{00000000-0005-0000-0000-0000CE060000}"/>
    <cellStyle name="Título 2 5 2" xfId="1625" xr:uid="{00000000-0005-0000-0000-0000CF060000}"/>
    <cellStyle name="Título 2 5 3" xfId="1626" xr:uid="{00000000-0005-0000-0000-0000D0060000}"/>
    <cellStyle name="Título 2 5 4" xfId="1627" xr:uid="{00000000-0005-0000-0000-0000D1060000}"/>
    <cellStyle name="Título 2 5 5" xfId="1628" xr:uid="{00000000-0005-0000-0000-0000D2060000}"/>
    <cellStyle name="Título 2 6" xfId="1629" xr:uid="{00000000-0005-0000-0000-0000D3060000}"/>
    <cellStyle name="Título 2 6 2" xfId="1630" xr:uid="{00000000-0005-0000-0000-0000D4060000}"/>
    <cellStyle name="Título 2 7" xfId="1631" xr:uid="{00000000-0005-0000-0000-0000D5060000}"/>
    <cellStyle name="Título 2 8" xfId="1632" xr:uid="{00000000-0005-0000-0000-0000D6060000}"/>
    <cellStyle name="Título 2 9" xfId="1633" xr:uid="{00000000-0005-0000-0000-0000D7060000}"/>
    <cellStyle name="Título 3" xfId="1634" builtinId="18" customBuiltin="1"/>
    <cellStyle name="Título 3 2" xfId="1635" xr:uid="{00000000-0005-0000-0000-0000D9060000}"/>
    <cellStyle name="Título 3 2 2" xfId="1636" xr:uid="{00000000-0005-0000-0000-0000DA060000}"/>
    <cellStyle name="Título 3 2 3" xfId="1637" xr:uid="{00000000-0005-0000-0000-0000DB060000}"/>
    <cellStyle name="Título 3 2 4" xfId="1638" xr:uid="{00000000-0005-0000-0000-0000DC060000}"/>
    <cellStyle name="Título 3 2 5" xfId="1639" xr:uid="{00000000-0005-0000-0000-0000DD060000}"/>
    <cellStyle name="Título 3 2 6" xfId="1640" xr:uid="{00000000-0005-0000-0000-0000DE060000}"/>
    <cellStyle name="Título 3 3" xfId="1641" xr:uid="{00000000-0005-0000-0000-0000DF060000}"/>
    <cellStyle name="Título 3 3 2" xfId="1642" xr:uid="{00000000-0005-0000-0000-0000E0060000}"/>
    <cellStyle name="Título 3 3 3" xfId="1643" xr:uid="{00000000-0005-0000-0000-0000E1060000}"/>
    <cellStyle name="Título 3 3 4" xfId="1644" xr:uid="{00000000-0005-0000-0000-0000E2060000}"/>
    <cellStyle name="Título 3 3 5" xfId="1645" xr:uid="{00000000-0005-0000-0000-0000E3060000}"/>
    <cellStyle name="Título 3 4" xfId="1646" xr:uid="{00000000-0005-0000-0000-0000E4060000}"/>
    <cellStyle name="Título 3 4 2" xfId="1647" xr:uid="{00000000-0005-0000-0000-0000E5060000}"/>
    <cellStyle name="Título 3 4 3" xfId="1648" xr:uid="{00000000-0005-0000-0000-0000E6060000}"/>
    <cellStyle name="Título 3 4 4" xfId="1649" xr:uid="{00000000-0005-0000-0000-0000E7060000}"/>
    <cellStyle name="Título 3 4 5" xfId="1650" xr:uid="{00000000-0005-0000-0000-0000E8060000}"/>
    <cellStyle name="Título 3 5" xfId="1651" xr:uid="{00000000-0005-0000-0000-0000E9060000}"/>
    <cellStyle name="Título 3 5 2" xfId="1652" xr:uid="{00000000-0005-0000-0000-0000EA060000}"/>
    <cellStyle name="Título 3 5 3" xfId="1653" xr:uid="{00000000-0005-0000-0000-0000EB060000}"/>
    <cellStyle name="Título 3 5 4" xfId="1654" xr:uid="{00000000-0005-0000-0000-0000EC060000}"/>
    <cellStyle name="Título 3 5 5" xfId="1655" xr:uid="{00000000-0005-0000-0000-0000ED060000}"/>
    <cellStyle name="Título 3 6" xfId="1656" xr:uid="{00000000-0005-0000-0000-0000EE060000}"/>
    <cellStyle name="Título 3 6 2" xfId="1657" xr:uid="{00000000-0005-0000-0000-0000EF060000}"/>
    <cellStyle name="Título 3 7" xfId="1658" xr:uid="{00000000-0005-0000-0000-0000F0060000}"/>
    <cellStyle name="Título 3 8" xfId="1659" xr:uid="{00000000-0005-0000-0000-0000F1060000}"/>
    <cellStyle name="Título 3 9" xfId="1660" xr:uid="{00000000-0005-0000-0000-0000F2060000}"/>
    <cellStyle name="Total" xfId="1661" builtinId="25" customBuiltin="1"/>
    <cellStyle name="Total 2" xfId="1662" xr:uid="{00000000-0005-0000-0000-0000F4060000}"/>
    <cellStyle name="Total 2 2" xfId="1663" xr:uid="{00000000-0005-0000-0000-0000F5060000}"/>
    <cellStyle name="Total 2 3" xfId="1664" xr:uid="{00000000-0005-0000-0000-0000F6060000}"/>
    <cellStyle name="Total 2 4" xfId="1665" xr:uid="{00000000-0005-0000-0000-0000F7060000}"/>
    <cellStyle name="Total 2 5" xfId="1666" xr:uid="{00000000-0005-0000-0000-0000F8060000}"/>
    <cellStyle name="Total 2 6" xfId="1667" xr:uid="{00000000-0005-0000-0000-0000F9060000}"/>
    <cellStyle name="Total 3" xfId="1668" xr:uid="{00000000-0005-0000-0000-0000FA060000}"/>
    <cellStyle name="Total 3 2" xfId="1669" xr:uid="{00000000-0005-0000-0000-0000FB060000}"/>
    <cellStyle name="Total 3 3" xfId="1670" xr:uid="{00000000-0005-0000-0000-0000FC060000}"/>
    <cellStyle name="Total 3 4" xfId="1671" xr:uid="{00000000-0005-0000-0000-0000FD060000}"/>
    <cellStyle name="Total 3 5" xfId="1672" xr:uid="{00000000-0005-0000-0000-0000FE060000}"/>
    <cellStyle name="Total 4" xfId="1673" xr:uid="{00000000-0005-0000-0000-0000FF060000}"/>
    <cellStyle name="Total 4 2" xfId="1674" xr:uid="{00000000-0005-0000-0000-000000070000}"/>
    <cellStyle name="Total 4 3" xfId="1675" xr:uid="{00000000-0005-0000-0000-000001070000}"/>
    <cellStyle name="Total 4 4" xfId="1676" xr:uid="{00000000-0005-0000-0000-000002070000}"/>
    <cellStyle name="Total 4 5" xfId="1677" xr:uid="{00000000-0005-0000-0000-000003070000}"/>
    <cellStyle name="Total 5" xfId="1678" xr:uid="{00000000-0005-0000-0000-000004070000}"/>
    <cellStyle name="Total 5 2" xfId="1679" xr:uid="{00000000-0005-0000-0000-000005070000}"/>
    <cellStyle name="Total 5 3" xfId="1680" xr:uid="{00000000-0005-0000-0000-000006070000}"/>
    <cellStyle name="Total 5 4" xfId="1681" xr:uid="{00000000-0005-0000-0000-000007070000}"/>
    <cellStyle name="Total 5 5" xfId="1682" xr:uid="{00000000-0005-0000-0000-000008070000}"/>
    <cellStyle name="Total 6" xfId="1683" xr:uid="{00000000-0005-0000-0000-000009070000}"/>
    <cellStyle name="Total 7" xfId="1684" xr:uid="{00000000-0005-0000-0000-00000A070000}"/>
    <cellStyle name="Total 8" xfId="1685" xr:uid="{00000000-0005-0000-0000-00000B070000}"/>
    <cellStyle name="Total 9" xfId="1686" xr:uid="{00000000-0005-0000-0000-00000C070000}"/>
    <cellStyle name="Tytu?" xfId="1687" xr:uid="{00000000-0005-0000-0000-00000D070000}"/>
    <cellStyle name="Tytuł" xfId="1688" xr:uid="{00000000-0005-0000-0000-00000E070000}"/>
    <cellStyle name="Uwaga" xfId="1689" xr:uid="{00000000-0005-0000-0000-00000F070000}"/>
    <cellStyle name="Warning Text" xfId="1690" xr:uid="{00000000-0005-0000-0000-000010070000}"/>
    <cellStyle name="Warning Text 2" xfId="1691" xr:uid="{00000000-0005-0000-0000-000011070000}"/>
    <cellStyle name="Warning Text 3" xfId="1692" xr:uid="{00000000-0005-0000-0000-000012070000}"/>
    <cellStyle name="Warning Text 4" xfId="1693" xr:uid="{00000000-0005-0000-0000-000013070000}"/>
    <cellStyle name="Warning Text 5" xfId="1694" xr:uid="{00000000-0005-0000-0000-000014070000}"/>
    <cellStyle name="Z?e" xfId="1695" xr:uid="{00000000-0005-0000-0000-000015070000}"/>
    <cellStyle name="Złe" xfId="1696" xr:uid="{00000000-0005-0000-0000-00001607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1383484577</c:v>
                </c:pt>
                <c:pt idx="1">
                  <c:v>65586428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'Financial Debt'!$C$13:$C$16</c:f>
              <c:numCache>
                <c:formatCode>0.000000%</c:formatCode>
                <c:ptCount val="4"/>
                <c:pt idx="0">
                  <c:v>0.11</c:v>
                </c:pt>
                <c:pt idx="1">
                  <c:v>0.81899999999999995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117928</xdr:colOff>
      <xdr:row>4</xdr:row>
      <xdr:rowOff>72571</xdr:rowOff>
    </xdr:from>
    <xdr:to>
      <xdr:col>7</xdr:col>
      <xdr:colOff>27776</xdr:colOff>
      <xdr:row>26</xdr:row>
      <xdr:rowOff>77237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FE6B2-EF7B-F748-53F6-F87CB96D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5928" y="725714"/>
          <a:ext cx="2195848" cy="359695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5</xdr:row>
      <xdr:rowOff>63499</xdr:rowOff>
    </xdr:from>
    <xdr:to>
      <xdr:col>3</xdr:col>
      <xdr:colOff>700938</xdr:colOff>
      <xdr:row>25</xdr:row>
      <xdr:rowOff>54428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8C46BA-4210-595F-7F65-B3AED802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879928"/>
          <a:ext cx="2478938" cy="3256643"/>
        </a:xfrm>
        <a:prstGeom prst="rect">
          <a:avLst/>
        </a:prstGeom>
      </xdr:spPr>
    </xdr:pic>
    <xdr:clientData/>
  </xdr:twoCellAnchor>
  <xdr:twoCellAnchor editAs="oneCell">
    <xdr:from>
      <xdr:col>4</xdr:col>
      <xdr:colOff>743858</xdr:colOff>
      <xdr:row>0</xdr:row>
      <xdr:rowOff>0</xdr:rowOff>
    </xdr:from>
    <xdr:to>
      <xdr:col>12</xdr:col>
      <xdr:colOff>371930</xdr:colOff>
      <xdr:row>3</xdr:row>
      <xdr:rowOff>99786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9597B3-084A-CD3B-BB27-311978D7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1858" y="0"/>
          <a:ext cx="5724072" cy="5896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I%20Trimestre\02%20Estados%20Financieros\01%20Fecu%20AA%203T25.xlsx" TargetMode="External"/><Relationship Id="rId1" Type="http://schemas.openxmlformats.org/officeDocument/2006/relationships/externalLinkPath" Target="file:///H:\E&#176;F&#176;\2025\III%20Trimestre\02%20Estados%20Financieros\01%20Fecu%20AA%203T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I%20Trimestre\05%20Analisis%20Razonado\Informaci&#243;n%20Analisis%20razonado%20AA_3T25%20V1.xlsx" TargetMode="External"/><Relationship Id="rId1" Type="http://schemas.openxmlformats.org/officeDocument/2006/relationships/externalLinkPath" Target="file:///H:\E&#176;F&#176;\2025\III%20Trimestre\05%20Analisis%20Razonado\Informaci&#243;n%20Analisis%20razonado%20AA_3T25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&#176;F&#176;\2025\I%20Trimestre\03%20An&#225;lisis%20Razonado\AA\Tablas%20an&#225;lisis%20razonado%20AA_4T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uasandinascl.sharepoint.com/E&#176;F&#176;/2024/IV%20Trimestre/03%20An&#225;lisis%20Razonado/AA/Tablas%20an&#225;lisis%20razonado%20AA_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idaciones"/>
      <sheetName val="Balance 2024"/>
      <sheetName val="Resultado 2024"/>
      <sheetName val="Balance 2025"/>
      <sheetName val="Resultado 2025"/>
      <sheetName val="Activo"/>
      <sheetName val="Pasivo"/>
      <sheetName val="Resultado"/>
      <sheetName val="Flujo"/>
      <sheetName val="Cambio Patrimonio"/>
      <sheetName val="N2.2 Reclasificaciones"/>
      <sheetName val="N2.1 Pronunciamientos "/>
      <sheetName val="N2.2 Filiales"/>
      <sheetName val="N2.2 Moneda Extranjera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Finan"/>
      <sheetName val="N11 Otros Activos No Fin"/>
      <sheetName val="N12 Intangibles"/>
      <sheetName val="N13 Plusvalía"/>
      <sheetName val="N14 PPE"/>
      <sheetName val="N15 Arrendamiento"/>
      <sheetName val="N15.2 Pasivo por arrenda"/>
      <sheetName val="Nota 15.3 Mov pasivo a"/>
      <sheetName val="N16 Impuestos Dif."/>
      <sheetName val="N17.3 Clases Instrum. Finan."/>
      <sheetName val="N16.7 AFR actual"/>
      <sheetName val="N17.4 Préstamos CP"/>
      <sheetName val="N17.4 Préstamos LP"/>
      <sheetName val="N17.4 Bonos CP"/>
      <sheetName val="N17.4 Bonos LP"/>
      <sheetName val="N16.4 Conciliación SI y SF"/>
      <sheetName val="17.5 Flujos de financ"/>
      <sheetName val="N17.6 Valor Justo"/>
      <sheetName val="N17.7 Derivados"/>
      <sheetName val="N18 Acreed. Comerciales"/>
      <sheetName val="N18.1 Acreed. Comerc. por Venc."/>
      <sheetName val="N19 Otras Prov."/>
      <sheetName val="N20 Beneficios Empleados"/>
      <sheetName val="N21 Pas. No Financiero"/>
      <sheetName val="N23 Partic. No Controladoras"/>
      <sheetName val="N24 Perdidas de valor"/>
      <sheetName val="N25 Ingresos Ordinarios"/>
      <sheetName val="N26 Otros Gtos. Nat."/>
      <sheetName val="N27 Otros Ingresos y Gtos."/>
      <sheetName val="N28 Efecto Moneda Extran."/>
      <sheetName val="N29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4.1 CovenantAA"/>
      <sheetName val="N35 Costos finan. Capital."/>
      <sheetName val="N36 Medio ambiente"/>
      <sheetName val="CovenantAC"/>
      <sheetName val="N6 CxC CxP Relacionadas"/>
      <sheetName val="N25 Ordinary revenues"/>
      <sheetName val="N17.4 Loans CP"/>
      <sheetName val="N17.4 Bonds 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12" t="str">
            <v>Préstamos bancarios variable</v>
          </cell>
          <cell r="C12">
            <v>65586428</v>
          </cell>
          <cell r="D12">
            <v>4.53E-2</v>
          </cell>
        </row>
        <row r="13">
          <cell r="B13" t="str">
            <v>Préstamos bancarios fijo</v>
          </cell>
          <cell r="C13">
            <v>30230667</v>
          </cell>
          <cell r="D13">
            <v>2.0899999999999998E-2</v>
          </cell>
        </row>
        <row r="14">
          <cell r="B14" t="str">
            <v>Bonos</v>
          </cell>
          <cell r="C14">
            <v>1174027715</v>
          </cell>
          <cell r="D14">
            <v>0.81010000000000004</v>
          </cell>
        </row>
        <row r="15">
          <cell r="B15" t="str">
            <v>Aportes financieros reembolsables</v>
          </cell>
          <cell r="C15">
            <v>159377689</v>
          </cell>
          <cell r="D15">
            <v>0.11</v>
          </cell>
        </row>
        <row r="16">
          <cell r="B16" t="str">
            <v>Derivados</v>
          </cell>
          <cell r="C16">
            <v>13296668</v>
          </cell>
          <cell r="D16">
            <v>9.1999999999999998E-3</v>
          </cell>
        </row>
        <row r="17">
          <cell r="B17" t="str">
            <v>Pasivo por arrendamiento</v>
          </cell>
          <cell r="C17">
            <v>6551838</v>
          </cell>
          <cell r="D17">
            <v>4.4999999999999997E-3</v>
          </cell>
        </row>
        <row r="18">
          <cell r="B18" t="str">
            <v xml:space="preserve">Total </v>
          </cell>
          <cell r="C18">
            <v>1449071005</v>
          </cell>
          <cell r="D18">
            <v>1</v>
          </cell>
        </row>
        <row r="20">
          <cell r="B20" t="str">
            <v>Aspectos financieros al 30-06-2025</v>
          </cell>
        </row>
        <row r="21">
          <cell r="B21" t="str">
            <v>Fija</v>
          </cell>
          <cell r="D21">
            <v>0.95469999999999999</v>
          </cell>
        </row>
        <row r="22">
          <cell r="B22" t="str">
            <v>Variable</v>
          </cell>
          <cell r="D22">
            <v>4.53E-2</v>
          </cell>
        </row>
        <row r="23">
          <cell r="B23" t="str">
            <v>Total</v>
          </cell>
        </row>
        <row r="24">
          <cell r="B24" t="str">
            <v>Prestamos bancarios</v>
          </cell>
          <cell r="D24">
            <v>2.1999999999999999E-2</v>
          </cell>
        </row>
        <row r="25">
          <cell r="B25" t="str">
            <v>Bono</v>
          </cell>
          <cell r="D25">
            <v>0.84799999999999998</v>
          </cell>
        </row>
        <row r="26">
          <cell r="B26" t="str">
            <v>AFR</v>
          </cell>
          <cell r="D26">
            <v>0.115</v>
          </cell>
        </row>
        <row r="27">
          <cell r="B27" t="str">
            <v>Derivados</v>
          </cell>
          <cell r="D27">
            <v>0.01</v>
          </cell>
        </row>
        <row r="28">
          <cell r="B28" t="str">
            <v>Pasivo por arrendamiento</v>
          </cell>
          <cell r="D28">
            <v>5.0000000000000001E-3</v>
          </cell>
        </row>
        <row r="29">
          <cell r="B29" t="str">
            <v>Total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6">
          <cell r="C36">
            <v>2721478</v>
          </cell>
        </row>
        <row r="37">
          <cell r="C37">
            <v>3495227</v>
          </cell>
        </row>
        <row r="38">
          <cell r="C38">
            <v>110181</v>
          </cell>
        </row>
        <row r="39">
          <cell r="C39">
            <v>224952</v>
          </cell>
        </row>
      </sheetData>
      <sheetData sheetId="34"/>
      <sheetData sheetId="35"/>
      <sheetData sheetId="36"/>
      <sheetData sheetId="37">
        <row r="24">
          <cell r="E24">
            <v>31069309</v>
          </cell>
        </row>
        <row r="25">
          <cell r="E25">
            <v>11501403</v>
          </cell>
        </row>
        <row r="26">
          <cell r="E26">
            <v>240104</v>
          </cell>
        </row>
        <row r="27">
          <cell r="E27">
            <v>158156</v>
          </cell>
        </row>
        <row r="28">
          <cell r="E28">
            <v>579823</v>
          </cell>
        </row>
        <row r="30">
          <cell r="E30">
            <v>2052896</v>
          </cell>
        </row>
        <row r="32">
          <cell r="E32">
            <v>2721478</v>
          </cell>
        </row>
        <row r="45">
          <cell r="E45">
            <v>64747786</v>
          </cell>
        </row>
        <row r="46">
          <cell r="E46">
            <v>996719577</v>
          </cell>
        </row>
        <row r="47">
          <cell r="E47">
            <v>12508122</v>
          </cell>
        </row>
        <row r="48">
          <cell r="E48">
            <v>31956355</v>
          </cell>
        </row>
        <row r="49">
          <cell r="E49">
            <v>120364175</v>
          </cell>
        </row>
        <row r="51">
          <cell r="E51">
            <v>11243772</v>
          </cell>
        </row>
        <row r="53">
          <cell r="E53">
            <v>3830360</v>
          </cell>
        </row>
      </sheetData>
      <sheetData sheetId="38"/>
      <sheetData sheetId="39">
        <row r="16">
          <cell r="I16">
            <v>31069309</v>
          </cell>
        </row>
      </sheetData>
      <sheetData sheetId="40">
        <row r="14">
          <cell r="G14">
            <v>34956000</v>
          </cell>
          <cell r="H14">
            <v>29791786</v>
          </cell>
          <cell r="I14">
            <v>0</v>
          </cell>
        </row>
      </sheetData>
      <sheetData sheetId="41"/>
      <sheetData sheetId="42">
        <row r="23">
          <cell r="I23">
            <v>0</v>
          </cell>
          <cell r="J23">
            <v>120364175</v>
          </cell>
          <cell r="K23">
            <v>1041184054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6">
          <cell r="C6">
            <v>211754049</v>
          </cell>
          <cell r="D6">
            <v>196502255</v>
          </cell>
        </row>
        <row r="7">
          <cell r="C7">
            <v>237896197</v>
          </cell>
          <cell r="D7">
            <v>217408241</v>
          </cell>
        </row>
        <row r="8">
          <cell r="C8">
            <v>50597569</v>
          </cell>
          <cell r="D8">
            <v>49853440</v>
          </cell>
        </row>
        <row r="9">
          <cell r="C9">
            <v>20609869</v>
          </cell>
          <cell r="D9">
            <v>19550385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>
        <row r="2">
          <cell r="D2">
            <v>45930</v>
          </cell>
        </row>
        <row r="5">
          <cell r="D5">
            <v>193886525</v>
          </cell>
          <cell r="E5">
            <v>108758431</v>
          </cell>
        </row>
        <row r="6">
          <cell r="D6">
            <v>7178942</v>
          </cell>
          <cell r="E6">
            <v>0</v>
          </cell>
        </row>
        <row r="7">
          <cell r="D7">
            <v>6395885</v>
          </cell>
          <cell r="E7">
            <v>3641630</v>
          </cell>
        </row>
        <row r="8">
          <cell r="D8">
            <v>123731325</v>
          </cell>
          <cell r="E8">
            <v>132404464</v>
          </cell>
        </row>
        <row r="9">
          <cell r="D9">
            <v>16791</v>
          </cell>
          <cell r="E9">
            <v>73679</v>
          </cell>
        </row>
        <row r="10">
          <cell r="D10">
            <v>11515188</v>
          </cell>
          <cell r="E10">
            <v>10476577</v>
          </cell>
        </row>
        <row r="11">
          <cell r="D11">
            <v>12450170</v>
          </cell>
          <cell r="E11">
            <v>33347482</v>
          </cell>
        </row>
        <row r="12">
          <cell r="D12">
            <v>355174826</v>
          </cell>
          <cell r="E12">
            <v>288702263</v>
          </cell>
        </row>
        <row r="14">
          <cell r="D14">
            <v>355174826</v>
          </cell>
          <cell r="E14">
            <v>288702263</v>
          </cell>
        </row>
        <row r="16">
          <cell r="D16">
            <v>22231573</v>
          </cell>
          <cell r="E16">
            <v>15898043</v>
          </cell>
        </row>
        <row r="17">
          <cell r="D17">
            <v>6422786</v>
          </cell>
          <cell r="E17">
            <v>6656551</v>
          </cell>
        </row>
        <row r="18">
          <cell r="D18">
            <v>3350099</v>
          </cell>
          <cell r="E18">
            <v>3440746</v>
          </cell>
        </row>
        <row r="19">
          <cell r="D19">
            <v>0</v>
          </cell>
          <cell r="E19">
            <v>0</v>
          </cell>
        </row>
        <row r="20">
          <cell r="D20">
            <v>617760203</v>
          </cell>
          <cell r="E20">
            <v>619303933</v>
          </cell>
        </row>
        <row r="21">
          <cell r="D21">
            <v>33823049</v>
          </cell>
          <cell r="E21">
            <v>33823049</v>
          </cell>
        </row>
        <row r="22">
          <cell r="D22">
            <v>2104428574</v>
          </cell>
          <cell r="E22">
            <v>2044544144</v>
          </cell>
        </row>
        <row r="23">
          <cell r="D23">
            <v>5878710</v>
          </cell>
          <cell r="E23">
            <v>3707341</v>
          </cell>
        </row>
        <row r="24">
          <cell r="D24">
            <v>2243810</v>
          </cell>
          <cell r="E24">
            <v>2083265</v>
          </cell>
        </row>
        <row r="26">
          <cell r="D26">
            <v>2796138804</v>
          </cell>
          <cell r="E26">
            <v>2729457072</v>
          </cell>
        </row>
        <row r="28">
          <cell r="D28">
            <v>3151313630</v>
          </cell>
          <cell r="E28">
            <v>3018159335</v>
          </cell>
        </row>
      </sheetData>
      <sheetData sheetId="1">
        <row r="5">
          <cell r="D5">
            <v>67890939</v>
          </cell>
          <cell r="E5">
            <v>116332739</v>
          </cell>
        </row>
        <row r="6">
          <cell r="D6">
            <v>2721478</v>
          </cell>
          <cell r="E6">
            <v>1802206</v>
          </cell>
        </row>
        <row r="7">
          <cell r="D7">
            <v>162683570</v>
          </cell>
          <cell r="E7">
            <v>184642753</v>
          </cell>
        </row>
        <row r="8">
          <cell r="D8">
            <v>1564188</v>
          </cell>
          <cell r="E8">
            <v>22293636</v>
          </cell>
        </row>
        <row r="9">
          <cell r="D9">
            <v>1332886</v>
          </cell>
          <cell r="E9">
            <v>1060276</v>
          </cell>
        </row>
        <row r="10">
          <cell r="D10">
            <v>49904</v>
          </cell>
          <cell r="E10">
            <v>538435</v>
          </cell>
        </row>
        <row r="11">
          <cell r="D11">
            <v>6441869</v>
          </cell>
          <cell r="E11">
            <v>7471420</v>
          </cell>
        </row>
        <row r="12">
          <cell r="D12">
            <v>17047560</v>
          </cell>
          <cell r="E12">
            <v>17372024</v>
          </cell>
        </row>
        <row r="13">
          <cell r="D13">
            <v>259732394</v>
          </cell>
          <cell r="E13">
            <v>351513489</v>
          </cell>
        </row>
        <row r="14">
          <cell r="D14">
            <v>0</v>
          </cell>
          <cell r="E14">
            <v>0</v>
          </cell>
        </row>
        <row r="15">
          <cell r="D15">
            <v>259732394</v>
          </cell>
          <cell r="E15">
            <v>351513489</v>
          </cell>
        </row>
        <row r="17">
          <cell r="D17">
            <v>1374628228</v>
          </cell>
          <cell r="E17">
            <v>1205884299</v>
          </cell>
        </row>
        <row r="18">
          <cell r="D18">
            <v>3830360</v>
          </cell>
          <cell r="E18">
            <v>2578760</v>
          </cell>
        </row>
        <row r="19">
          <cell r="D19">
            <v>1364031</v>
          </cell>
          <cell r="E19">
            <v>1362795</v>
          </cell>
        </row>
        <row r="20">
          <cell r="D20">
            <v>0</v>
          </cell>
          <cell r="E20">
            <v>0</v>
          </cell>
        </row>
        <row r="21">
          <cell r="D21">
            <v>1964323</v>
          </cell>
          <cell r="E21">
            <v>1908445</v>
          </cell>
        </row>
        <row r="22">
          <cell r="D22">
            <v>140630628</v>
          </cell>
          <cell r="E22">
            <v>130710566</v>
          </cell>
        </row>
        <row r="23">
          <cell r="D23">
            <v>25306456</v>
          </cell>
          <cell r="E23">
            <v>24484390</v>
          </cell>
        </row>
        <row r="24">
          <cell r="D24">
            <v>7727754</v>
          </cell>
          <cell r="E24">
            <v>7601123</v>
          </cell>
        </row>
        <row r="25">
          <cell r="D25">
            <v>1555451780</v>
          </cell>
          <cell r="E25">
            <v>1374530378</v>
          </cell>
        </row>
        <row r="27">
          <cell r="D27">
            <v>1815184174</v>
          </cell>
          <cell r="E27">
            <v>1726043867</v>
          </cell>
        </row>
        <row r="29">
          <cell r="D29">
            <v>155567354</v>
          </cell>
          <cell r="E29">
            <v>155567354</v>
          </cell>
        </row>
        <row r="30">
          <cell r="D30">
            <v>455838777</v>
          </cell>
          <cell r="E30">
            <v>407021368</v>
          </cell>
        </row>
        <row r="31">
          <cell r="D31">
            <v>164064038</v>
          </cell>
          <cell r="E31">
            <v>164064038</v>
          </cell>
        </row>
        <row r="32">
          <cell r="D32">
            <v>-5965550</v>
          </cell>
          <cell r="E32">
            <v>-5965550</v>
          </cell>
        </row>
        <row r="33">
          <cell r="D33">
            <v>566574838</v>
          </cell>
          <cell r="E33">
            <v>571379740</v>
          </cell>
        </row>
        <row r="34">
          <cell r="D34">
            <v>1336079457</v>
          </cell>
          <cell r="E34">
            <v>1292066950</v>
          </cell>
        </row>
        <row r="35">
          <cell r="D35">
            <v>49999</v>
          </cell>
          <cell r="E35">
            <v>48518</v>
          </cell>
        </row>
        <row r="36">
          <cell r="D36">
            <v>1336129456</v>
          </cell>
          <cell r="E36">
            <v>1292115468</v>
          </cell>
        </row>
        <row r="37">
          <cell r="D37">
            <v>0</v>
          </cell>
          <cell r="E37">
            <v>0</v>
          </cell>
        </row>
        <row r="38">
          <cell r="D38">
            <v>3151313630</v>
          </cell>
          <cell r="E38">
            <v>3018159335</v>
          </cell>
        </row>
      </sheetData>
      <sheetData sheetId="2">
        <row r="4">
          <cell r="D4">
            <v>520857684</v>
          </cell>
          <cell r="E4">
            <v>483314321</v>
          </cell>
          <cell r="F4">
            <v>158397973</v>
          </cell>
          <cell r="G4">
            <v>143472465</v>
          </cell>
        </row>
        <row r="5">
          <cell r="D5">
            <v>-66129210</v>
          </cell>
          <cell r="E5">
            <v>-61764843</v>
          </cell>
          <cell r="F5">
            <v>-21820370</v>
          </cell>
          <cell r="G5">
            <v>-20594413</v>
          </cell>
        </row>
        <row r="6">
          <cell r="D6">
            <v>-65341044</v>
          </cell>
          <cell r="E6">
            <v>-60663659</v>
          </cell>
          <cell r="F6">
            <v>-22494289</v>
          </cell>
          <cell r="G6">
            <v>-20698782</v>
          </cell>
        </row>
        <row r="7">
          <cell r="D7">
            <v>-64792798</v>
          </cell>
          <cell r="E7">
            <v>-60798649</v>
          </cell>
          <cell r="F7">
            <v>-22455135</v>
          </cell>
          <cell r="G7">
            <v>-20220051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-128333710</v>
          </cell>
          <cell r="E9">
            <v>-119028718</v>
          </cell>
          <cell r="F9">
            <v>-44728888</v>
          </cell>
          <cell r="G9">
            <v>-43327383</v>
          </cell>
        </row>
        <row r="10">
          <cell r="D10">
            <v>-2946528</v>
          </cell>
          <cell r="E10">
            <v>1964976</v>
          </cell>
          <cell r="F10">
            <v>-1356443</v>
          </cell>
          <cell r="G10">
            <v>-381530</v>
          </cell>
        </row>
        <row r="12">
          <cell r="D12">
            <v>10888883</v>
          </cell>
          <cell r="E12">
            <v>7604978</v>
          </cell>
          <cell r="F12">
            <v>3988236</v>
          </cell>
          <cell r="G12">
            <v>2639168</v>
          </cell>
        </row>
        <row r="13">
          <cell r="D13">
            <v>-41423467</v>
          </cell>
          <cell r="E13">
            <v>-37232930</v>
          </cell>
          <cell r="F13">
            <v>-13083322</v>
          </cell>
          <cell r="G13">
            <v>-13300111</v>
          </cell>
        </row>
        <row r="14">
          <cell r="D14">
            <v>-6743311</v>
          </cell>
          <cell r="E14">
            <v>-6550791</v>
          </cell>
          <cell r="F14">
            <v>-1974386</v>
          </cell>
          <cell r="G14">
            <v>36709</v>
          </cell>
        </row>
        <row r="15">
          <cell r="D15">
            <v>-176705</v>
          </cell>
          <cell r="E15">
            <v>269429</v>
          </cell>
          <cell r="F15">
            <v>-73181</v>
          </cell>
          <cell r="G15">
            <v>-197403</v>
          </cell>
        </row>
        <row r="16">
          <cell r="D16">
            <v>-34944708</v>
          </cell>
          <cell r="E16">
            <v>-31381630</v>
          </cell>
          <cell r="F16">
            <v>-7171027</v>
          </cell>
          <cell r="G16">
            <v>-9917250</v>
          </cell>
        </row>
        <row r="19">
          <cell r="D19">
            <v>-23608532</v>
          </cell>
          <cell r="E19">
            <v>-24328925</v>
          </cell>
          <cell r="F19">
            <v>-5691726</v>
          </cell>
          <cell r="G19">
            <v>-2616166</v>
          </cell>
        </row>
        <row r="26">
          <cell r="D26">
            <v>1589</v>
          </cell>
          <cell r="E26">
            <v>1443</v>
          </cell>
          <cell r="F26">
            <v>303</v>
          </cell>
          <cell r="G26">
            <v>215</v>
          </cell>
        </row>
      </sheetData>
      <sheetData sheetId="3"/>
      <sheetData sheetId="4">
        <row r="2">
          <cell r="D2" t="str">
            <v>V1</v>
          </cell>
        </row>
        <row r="3">
          <cell r="B3" t="str">
            <v>Estado de Flujo de efectivo directo</v>
          </cell>
          <cell r="C3" t="str">
            <v>Nota</v>
          </cell>
          <cell r="D3">
            <v>45930</v>
          </cell>
          <cell r="E3">
            <v>45565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622562799</v>
          </cell>
          <cell r="E5">
            <v>579308070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1512174</v>
          </cell>
          <cell r="E9">
            <v>4132331</v>
          </cell>
        </row>
        <row r="10">
          <cell r="B10" t="str">
            <v xml:space="preserve">Clases de cobros por actividades de operación </v>
          </cell>
          <cell r="D10">
            <v>624074973</v>
          </cell>
          <cell r="E10">
            <v>583440401</v>
          </cell>
        </row>
        <row r="11">
          <cell r="B11" t="str">
            <v>Pagos a proveedores por el suministro de bienes y servicios</v>
          </cell>
          <cell r="D11">
            <v>-233792382</v>
          </cell>
          <cell r="E11">
            <v>-214910780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-64002668</v>
          </cell>
          <cell r="E13">
            <v>-57137975</v>
          </cell>
        </row>
        <row r="14">
          <cell r="B14" t="str">
            <v>Pagos por primas y prestaciones, anualidades y otras obligaciones derivadas de las pólizas suscritas</v>
          </cell>
          <cell r="D14">
            <v>0</v>
          </cell>
          <cell r="E14">
            <v>0</v>
          </cell>
        </row>
        <row r="15">
          <cell r="B15" t="str">
            <v>Otros pagos por actividades de operación</v>
          </cell>
          <cell r="D15">
            <v>-52434997</v>
          </cell>
          <cell r="E15">
            <v>-45239341</v>
          </cell>
        </row>
        <row r="16">
          <cell r="B16" t="str">
            <v>Clases de pagos en efectivo procedentes de actividades de operación</v>
          </cell>
          <cell r="D16">
            <v>-350230047</v>
          </cell>
          <cell r="E16">
            <v>-317288096</v>
          </cell>
        </row>
        <row r="17">
          <cell r="B17" t="str">
            <v>Dividendos pagados</v>
          </cell>
          <cell r="D17">
            <v>0</v>
          </cell>
          <cell r="E17">
            <v>0</v>
          </cell>
        </row>
        <row r="18">
          <cell r="B18" t="str">
            <v>Dividendos recibidos</v>
          </cell>
          <cell r="D18">
            <v>0</v>
          </cell>
          <cell r="E18">
            <v>0</v>
          </cell>
        </row>
        <row r="19">
          <cell r="B19" t="str">
            <v>Intereses pagados</v>
          </cell>
          <cell r="D19">
            <v>0</v>
          </cell>
          <cell r="E19">
            <v>0</v>
          </cell>
        </row>
        <row r="20">
          <cell r="B20" t="str">
            <v>Intereses recibidos</v>
          </cell>
          <cell r="D20">
            <v>0</v>
          </cell>
          <cell r="E20">
            <v>0</v>
          </cell>
        </row>
        <row r="21">
          <cell r="B21" t="str">
            <v xml:space="preserve">Impuestos a las ganancias (pagados) </v>
          </cell>
          <cell r="D21">
            <v>7760783</v>
          </cell>
          <cell r="E21">
            <v>-22640129</v>
          </cell>
        </row>
        <row r="22">
          <cell r="B22" t="str">
            <v>Otras entradas (salidas) de efectivo</v>
          </cell>
          <cell r="D22">
            <v>-13150251</v>
          </cell>
          <cell r="E22">
            <v>-15479773</v>
          </cell>
        </row>
        <row r="23">
          <cell r="B23" t="str">
            <v>Flujos de efectivo procedentes de (utilizados en) actividades de operación</v>
          </cell>
          <cell r="D23">
            <v>268455458</v>
          </cell>
          <cell r="E23">
            <v>228032403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61226</v>
          </cell>
          <cell r="E32">
            <v>4056384</v>
          </cell>
        </row>
        <row r="33">
          <cell r="B33" t="str">
            <v>Compras de propiedades, planta y equipo</v>
          </cell>
          <cell r="D33">
            <v>-132318689</v>
          </cell>
          <cell r="E33">
            <v>-142673331</v>
          </cell>
        </row>
        <row r="34">
          <cell r="B34" t="str">
            <v>Importes procedentes de ventas de activos intangibles</v>
          </cell>
          <cell r="D34">
            <v>0</v>
          </cell>
          <cell r="E34">
            <v>0</v>
          </cell>
        </row>
        <row r="35">
          <cell r="B35" t="str">
            <v>Compras de activos intangibles</v>
          </cell>
          <cell r="D35">
            <v>-3136044</v>
          </cell>
          <cell r="E35">
            <v>-2856262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6535626</v>
          </cell>
          <cell r="E45">
            <v>4747284</v>
          </cell>
        </row>
        <row r="46">
          <cell r="B46" t="str">
            <v>Impuestos a las ganancias reembolsados (pagados)</v>
          </cell>
          <cell r="D46">
            <v>0</v>
          </cell>
          <cell r="E46">
            <v>0</v>
          </cell>
        </row>
        <row r="47">
          <cell r="B47" t="str">
            <v>Otras entradas (salidas) de efectivo</v>
          </cell>
          <cell r="D47">
            <v>0</v>
          </cell>
          <cell r="E47">
            <v>0</v>
          </cell>
        </row>
        <row r="48">
          <cell r="B48" t="str">
            <v>Flujos de efectivo procedentes de (utilizados en) actividades de inversión</v>
          </cell>
          <cell r="D48">
            <v>-128857881</v>
          </cell>
          <cell r="E48">
            <v>-136725925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166837113</v>
          </cell>
          <cell r="E53">
            <v>141124217</v>
          </cell>
        </row>
        <row r="54">
          <cell r="B54" t="str">
            <v>Importes procedentes de préstamos de corto plazo</v>
          </cell>
          <cell r="D54">
            <v>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166837113</v>
          </cell>
          <cell r="E55">
            <v>141124217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-102255318</v>
          </cell>
          <cell r="E57">
            <v>-145472405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-87037751</v>
          </cell>
          <cell r="E61">
            <v>-90100417</v>
          </cell>
        </row>
        <row r="62">
          <cell r="B62" t="str">
            <v>Intereses pagados</v>
          </cell>
          <cell r="D62">
            <v>-30793385</v>
          </cell>
          <cell r="E62">
            <v>-29541220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-1220142</v>
          </cell>
          <cell r="E64">
            <v>-1598321</v>
          </cell>
        </row>
        <row r="65">
          <cell r="B65" t="str">
            <v xml:space="preserve"> Flujos de efectivo procedentes de (utilizados en) actividades de financiación</v>
          </cell>
          <cell r="D65">
            <v>-54469483</v>
          </cell>
          <cell r="E65">
            <v>-125588146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85128094</v>
          </cell>
          <cell r="E66">
            <v>-34281668</v>
          </cell>
        </row>
        <row r="67">
          <cell r="B67" t="str">
            <v>Efectos de la variación en la tasa de cambio sobre el efectivo y equivalentes al efectivo</v>
          </cell>
          <cell r="D67">
            <v>0</v>
          </cell>
          <cell r="E67">
            <v>0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  <cell r="E68">
            <v>0</v>
          </cell>
        </row>
        <row r="69">
          <cell r="B69" t="str">
            <v>Incremento (disminución) neto de efectivo y equivalentes al efectivo</v>
          </cell>
          <cell r="D69">
            <v>85128094</v>
          </cell>
          <cell r="E69">
            <v>-34281668</v>
          </cell>
        </row>
        <row r="70">
          <cell r="B70" t="str">
            <v>Efectivo y equivalentes al efectivo al principio del periodo</v>
          </cell>
          <cell r="D70">
            <v>108758431</v>
          </cell>
          <cell r="E70">
            <v>109156681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193886525</v>
          </cell>
          <cell r="E71">
            <v>74875013</v>
          </cell>
        </row>
        <row r="73">
          <cell r="D73">
            <v>0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486966086</v>
          </cell>
          <cell r="D6">
            <v>33891598</v>
          </cell>
          <cell r="E6">
            <v>453293970</v>
          </cell>
          <cell r="F6">
            <v>30020351</v>
          </cell>
        </row>
        <row r="7">
          <cell r="C7">
            <v>1244945</v>
          </cell>
          <cell r="D7">
            <v>9709980</v>
          </cell>
          <cell r="E7">
            <v>1135131</v>
          </cell>
          <cell r="F7">
            <v>9839174</v>
          </cell>
        </row>
        <row r="9">
          <cell r="C9">
            <v>-54748252</v>
          </cell>
          <cell r="D9">
            <v>-11672827</v>
          </cell>
          <cell r="E9">
            <v>-51671381</v>
          </cell>
          <cell r="F9">
            <v>-10567213</v>
          </cell>
        </row>
        <row r="10">
          <cell r="C10">
            <v>-52996004</v>
          </cell>
          <cell r="D10">
            <v>-12345040</v>
          </cell>
          <cell r="E10">
            <v>-49606237</v>
          </cell>
          <cell r="F10">
            <v>-11057422</v>
          </cell>
        </row>
        <row r="11">
          <cell r="C11">
            <v>-127051554</v>
          </cell>
          <cell r="D11">
            <v>-11945212</v>
          </cell>
          <cell r="E11">
            <v>-118692601</v>
          </cell>
          <cell r="F11">
            <v>-10836671</v>
          </cell>
        </row>
        <row r="12">
          <cell r="C12">
            <v>-62800015</v>
          </cell>
          <cell r="D12">
            <v>-1992783</v>
          </cell>
          <cell r="E12">
            <v>-58984360</v>
          </cell>
          <cell r="F12">
            <v>-1814289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-2849513</v>
          </cell>
          <cell r="D14">
            <v>-97015</v>
          </cell>
          <cell r="E14">
            <v>1316088</v>
          </cell>
          <cell r="F14">
            <v>648888</v>
          </cell>
        </row>
        <row r="15">
          <cell r="C15">
            <v>10786721</v>
          </cell>
          <cell r="D15">
            <v>209515</v>
          </cell>
          <cell r="E15">
            <v>7627301</v>
          </cell>
          <cell r="F15">
            <v>171112</v>
          </cell>
        </row>
        <row r="16">
          <cell r="C16">
            <v>-41268255</v>
          </cell>
          <cell r="D16">
            <v>-262565</v>
          </cell>
          <cell r="E16">
            <v>-37099988</v>
          </cell>
          <cell r="F16">
            <v>-326377</v>
          </cell>
        </row>
        <row r="17">
          <cell r="C17">
            <v>-6710933</v>
          </cell>
          <cell r="D17">
            <v>-32378</v>
          </cell>
          <cell r="E17">
            <v>-6537404</v>
          </cell>
          <cell r="F17">
            <v>-13387</v>
          </cell>
        </row>
        <row r="18">
          <cell r="C18">
            <v>-35109774</v>
          </cell>
          <cell r="D18">
            <v>-11639</v>
          </cell>
          <cell r="E18">
            <v>-31153550</v>
          </cell>
          <cell r="F18">
            <v>41349</v>
          </cell>
        </row>
        <row r="20">
          <cell r="C20">
            <v>-22418768</v>
          </cell>
          <cell r="D20">
            <v>-1189764</v>
          </cell>
          <cell r="E20">
            <v>-22937804</v>
          </cell>
          <cell r="F20">
            <v>-1391121</v>
          </cell>
        </row>
        <row r="22">
          <cell r="C22">
            <v>93043095</v>
          </cell>
          <cell r="D22">
            <v>4261870</v>
          </cell>
          <cell r="E22">
            <v>86687722</v>
          </cell>
          <cell r="F22">
            <v>4714394</v>
          </cell>
        </row>
        <row r="23">
          <cell r="C23">
            <v>1589</v>
          </cell>
          <cell r="E23">
            <v>1443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275004410</v>
          </cell>
        </row>
        <row r="7">
          <cell r="E7">
            <v>2148343319</v>
          </cell>
        </row>
        <row r="10">
          <cell r="E10">
            <v>361668126</v>
          </cell>
        </row>
        <row r="11">
          <cell r="E11">
            <v>1175540305</v>
          </cell>
        </row>
        <row r="12">
          <cell r="E12">
            <v>31468</v>
          </cell>
        </row>
        <row r="13">
          <cell r="E13">
            <v>886107830</v>
          </cell>
        </row>
        <row r="50">
          <cell r="C50">
            <v>662701294</v>
          </cell>
        </row>
        <row r="51">
          <cell r="C51">
            <v>-82122248</v>
          </cell>
        </row>
        <row r="52">
          <cell r="C52">
            <v>-83142518</v>
          </cell>
        </row>
        <row r="53">
          <cell r="C53">
            <v>-82220591</v>
          </cell>
        </row>
        <row r="54">
          <cell r="C54">
            <v>-216645</v>
          </cell>
        </row>
        <row r="55">
          <cell r="C55">
            <v>-7163962</v>
          </cell>
        </row>
        <row r="56">
          <cell r="C56">
            <v>-164836148</v>
          </cell>
        </row>
        <row r="58">
          <cell r="C58">
            <v>10052956</v>
          </cell>
        </row>
        <row r="59">
          <cell r="C59">
            <v>-49334397</v>
          </cell>
        </row>
        <row r="60">
          <cell r="C60">
            <v>349033</v>
          </cell>
        </row>
        <row r="61">
          <cell r="C61">
            <v>-45945172</v>
          </cell>
        </row>
        <row r="63">
          <cell r="C63">
            <v>526770</v>
          </cell>
        </row>
        <row r="66">
          <cell r="C66">
            <v>-34306718</v>
          </cell>
        </row>
        <row r="67">
          <cell r="C67">
            <v>0</v>
          </cell>
        </row>
        <row r="68">
          <cell r="C68">
            <v>2008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D18">
            <v>662701294</v>
          </cell>
        </row>
        <row r="19">
          <cell r="D19">
            <v>419485467</v>
          </cell>
        </row>
        <row r="20">
          <cell r="D20">
            <v>158648372</v>
          </cell>
        </row>
        <row r="21">
          <cell r="D21">
            <v>-49334397</v>
          </cell>
        </row>
        <row r="22">
          <cell r="D22">
            <v>290199344</v>
          </cell>
        </row>
        <row r="23">
          <cell r="D23">
            <v>124339646</v>
          </cell>
        </row>
        <row r="24">
          <cell r="D24">
            <v>-34306718</v>
          </cell>
        </row>
        <row r="25">
          <cell r="D25">
            <v>-82220591</v>
          </cell>
        </row>
        <row r="28">
          <cell r="D28">
            <v>282203771</v>
          </cell>
        </row>
        <row r="29">
          <cell r="D29">
            <v>-176341951</v>
          </cell>
        </row>
        <row r="30">
          <cell r="D30">
            <v>-106260070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tabColor rgb="FF00B050"/>
  </sheetPr>
  <dimension ref="A1:I26"/>
  <sheetViews>
    <sheetView showGridLines="0" workbookViewId="0">
      <selection activeCell="B16" sqref="B16"/>
    </sheetView>
  </sheetViews>
  <sheetFormatPr baseColWidth="10" defaultColWidth="0" defaultRowHeight="12" zeroHeight="1"/>
  <cols>
    <col min="1" max="1" width="11.44140625" style="119" customWidth="1"/>
    <col min="2" max="2" width="45.5546875" style="119" bestFit="1" customWidth="1"/>
    <col min="3" max="3" width="14.44140625" style="320" bestFit="1" customWidth="1"/>
    <col min="4" max="4" width="14.44140625" style="119" bestFit="1" customWidth="1"/>
    <col min="5" max="6" width="11.44140625" style="119" hidden="1" customWidth="1"/>
    <col min="7" max="9" width="0" style="119" hidden="1" customWidth="1"/>
    <col min="10" max="16384" width="11.44140625" style="119" hidden="1"/>
  </cols>
  <sheetData>
    <row r="1" spans="2:3"/>
    <row r="2" spans="2:3">
      <c r="B2" s="118" t="s">
        <v>405</v>
      </c>
      <c r="C2" s="319" t="s">
        <v>332</v>
      </c>
    </row>
    <row r="3" spans="2:3">
      <c r="B3" s="119" t="s">
        <v>406</v>
      </c>
      <c r="C3" s="320">
        <f>+Cálculos!E70</f>
        <v>124339646</v>
      </c>
    </row>
    <row r="4" spans="2:3">
      <c r="B4" s="119" t="s">
        <v>408</v>
      </c>
      <c r="C4" s="320">
        <f>-Cálculos!D70</f>
        <v>-91402116</v>
      </c>
    </row>
    <row r="5" spans="2:3">
      <c r="B5" s="143" t="s">
        <v>408</v>
      </c>
      <c r="C5" s="321">
        <f>+Cálculos!C70</f>
        <v>97304965</v>
      </c>
    </row>
    <row r="6" spans="2:3">
      <c r="B6" s="118" t="s">
        <v>411</v>
      </c>
      <c r="C6" s="322">
        <f>SUM(C3:C5)</f>
        <v>130242495</v>
      </c>
    </row>
    <row r="7" spans="2:3"/>
    <row r="8" spans="2:3">
      <c r="B8" s="323" t="s">
        <v>409</v>
      </c>
    </row>
    <row r="9" spans="2:3">
      <c r="B9" s="118" t="s">
        <v>412</v>
      </c>
      <c r="C9" s="319" t="s">
        <v>332</v>
      </c>
    </row>
    <row r="10" spans="2:3">
      <c r="B10" s="119" t="s">
        <v>407</v>
      </c>
      <c r="C10" s="320">
        <f>+Cálculos!F20-Cálculos!F21</f>
        <v>207982769</v>
      </c>
    </row>
    <row r="11" spans="2:3">
      <c r="B11" s="119" t="s">
        <v>410</v>
      </c>
      <c r="C11" s="320">
        <f>-(Cálculos!E20-Cálculos!E21)</f>
        <v>-152965414</v>
      </c>
    </row>
    <row r="12" spans="2:3">
      <c r="B12" s="143" t="s">
        <v>408</v>
      </c>
      <c r="C12" s="321">
        <f>+Cálculos!D20-Cálculos!D21</f>
        <v>162338553</v>
      </c>
    </row>
    <row r="13" spans="2:3">
      <c r="B13" s="118" t="str">
        <f>+B6</f>
        <v>Period sep 2025 - sep 2024</v>
      </c>
      <c r="C13" s="322">
        <f>SUM(C10:C12)</f>
        <v>217355908</v>
      </c>
    </row>
    <row r="14" spans="2:3"/>
    <row r="15" spans="2:3"/>
    <row r="16" spans="2:3">
      <c r="B16" s="118" t="s">
        <v>413</v>
      </c>
      <c r="C16" s="319" t="s">
        <v>332</v>
      </c>
    </row>
    <row r="17" spans="2:4">
      <c r="B17" s="119" t="s">
        <v>407</v>
      </c>
      <c r="C17" s="320">
        <f>-Cálculos!F21</f>
        <v>49334397</v>
      </c>
    </row>
    <row r="18" spans="2:4">
      <c r="B18" s="119" t="str">
        <f>+B11</f>
        <v>Accum.sep 2024</v>
      </c>
      <c r="C18" s="320">
        <f>Cálculos!E21</f>
        <v>-37232930</v>
      </c>
    </row>
    <row r="19" spans="2:4">
      <c r="B19" s="143" t="str">
        <f>+B12</f>
        <v>Accum.sep 2025</v>
      </c>
      <c r="C19" s="321">
        <f>-Cálculos!D21</f>
        <v>41423467</v>
      </c>
    </row>
    <row r="20" spans="2:4">
      <c r="B20" s="118" t="str">
        <f>+B13</f>
        <v>Period sep 2025 - sep 2024</v>
      </c>
      <c r="C20" s="322">
        <f>SUM(C17:C19)</f>
        <v>53524934</v>
      </c>
    </row>
    <row r="21" spans="2:4"/>
    <row r="22" spans="2:4"/>
    <row r="24" spans="2:4" hidden="1">
      <c r="C24" s="324"/>
      <c r="D24" s="325"/>
    </row>
    <row r="25" spans="2:4" hidden="1">
      <c r="C25" s="326"/>
      <c r="D25" s="326"/>
    </row>
    <row r="26" spans="2:4" hidden="1">
      <c r="C26" s="326"/>
      <c r="D26" s="326"/>
    </row>
  </sheetData>
  <phoneticPr fontId="109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B050"/>
    <pageSetUpPr fitToPage="1"/>
  </sheetPr>
  <dimension ref="A1:O32"/>
  <sheetViews>
    <sheetView showGridLines="0" zoomScale="90" zoomScaleNormal="90" workbookViewId="0">
      <selection activeCell="F27" sqref="F27"/>
    </sheetView>
  </sheetViews>
  <sheetFormatPr baseColWidth="10" defaultColWidth="11.44140625" defaultRowHeight="13.8"/>
  <cols>
    <col min="1" max="1" width="7.5546875" style="93" customWidth="1"/>
    <col min="2" max="2" width="117" style="93" bestFit="1" customWidth="1"/>
    <col min="3" max="3" width="7.5546875" style="93" customWidth="1"/>
    <col min="4" max="4" width="12.44140625" style="93" bestFit="1" customWidth="1"/>
    <col min="5" max="5" width="13.5546875" style="93" customWidth="1"/>
    <col min="6" max="7" width="11.44140625" style="93" customWidth="1"/>
    <col min="8" max="8" width="5" style="93" customWidth="1"/>
    <col min="9" max="9" width="11.44140625" style="270"/>
    <col min="10" max="11" width="12.5546875" style="271" customWidth="1"/>
    <col min="12" max="12" width="0" style="270" hidden="1" customWidth="1"/>
    <col min="13" max="13" width="12.5546875" style="271" hidden="1" customWidth="1"/>
    <col min="14" max="16384" width="11.44140625" style="93"/>
  </cols>
  <sheetData>
    <row r="1" spans="1:15">
      <c r="C1" s="109"/>
    </row>
    <row r="2" spans="1:15" ht="14.4" thickBot="1">
      <c r="C2" s="109"/>
      <c r="I2" s="462" t="s">
        <v>190</v>
      </c>
      <c r="J2" s="462"/>
      <c r="K2" s="307"/>
      <c r="L2" s="462" t="s">
        <v>191</v>
      </c>
      <c r="M2" s="462"/>
    </row>
    <row r="3" spans="1:15" s="85" customFormat="1" ht="26.4">
      <c r="A3" s="110"/>
      <c r="B3" s="456" t="s">
        <v>219</v>
      </c>
      <c r="C3" s="458" t="s">
        <v>92</v>
      </c>
      <c r="D3" s="334">
        <v>45565</v>
      </c>
      <c r="E3" s="334">
        <v>45199</v>
      </c>
      <c r="F3" s="370" t="s">
        <v>274</v>
      </c>
      <c r="G3" s="370" t="s">
        <v>275</v>
      </c>
      <c r="I3" s="460" t="s">
        <v>189</v>
      </c>
      <c r="J3" s="461"/>
      <c r="K3" s="308"/>
      <c r="L3" s="460" t="s">
        <v>189</v>
      </c>
      <c r="M3" s="461"/>
    </row>
    <row r="4" spans="1:15" s="85" customFormat="1" ht="16.5" customHeight="1">
      <c r="B4" s="457"/>
      <c r="C4" s="459"/>
      <c r="D4" s="55" t="s">
        <v>4</v>
      </c>
      <c r="E4" s="55" t="s">
        <v>4</v>
      </c>
      <c r="F4" s="371" t="s">
        <v>4</v>
      </c>
      <c r="G4" s="372" t="s">
        <v>4</v>
      </c>
      <c r="I4" s="273" t="s">
        <v>4</v>
      </c>
      <c r="J4" s="274" t="s">
        <v>60</v>
      </c>
      <c r="K4" s="309"/>
      <c r="L4" s="273" t="s">
        <v>4</v>
      </c>
      <c r="M4" s="274"/>
    </row>
    <row r="5" spans="1:15" s="85" customFormat="1" ht="21" customHeight="1">
      <c r="B5" s="67" t="s">
        <v>220</v>
      </c>
      <c r="C5" s="59">
        <v>25</v>
      </c>
      <c r="D5" s="57">
        <f>[2]Resultado!D4</f>
        <v>520857684</v>
      </c>
      <c r="E5" s="57">
        <f>[2]Resultado!E4</f>
        <v>483314321</v>
      </c>
      <c r="F5" s="57">
        <f>[2]Resultado!F4</f>
        <v>158397973</v>
      </c>
      <c r="G5" s="57">
        <f>[2]Resultado!G4</f>
        <v>143472465</v>
      </c>
      <c r="H5" s="84"/>
      <c r="I5" s="254">
        <f t="shared" ref="I5:I11" si="0">+ROUND((D5-E5),0)</f>
        <v>37543363</v>
      </c>
      <c r="J5" s="278">
        <f t="shared" ref="J5:J11" si="1">IFERROR(I5/E5,1)</f>
        <v>7.7678979017880165E-2</v>
      </c>
      <c r="K5" s="310"/>
      <c r="L5" s="254" t="e">
        <f>+ROUND((#REF!-#REF!),0)</f>
        <v>#REF!</v>
      </c>
      <c r="M5" s="278">
        <f>IFERROR(L5/#REF!,1)</f>
        <v>1</v>
      </c>
      <c r="N5" s="18"/>
      <c r="O5" s="84"/>
    </row>
    <row r="6" spans="1:15" s="85" customFormat="1" ht="21" customHeight="1">
      <c r="B6" s="67" t="s">
        <v>87</v>
      </c>
      <c r="C6" s="59"/>
      <c r="D6" s="57">
        <f>[2]Resultado!D5</f>
        <v>-66129210</v>
      </c>
      <c r="E6" s="57">
        <f>[2]Resultado!E5</f>
        <v>-61764843</v>
      </c>
      <c r="F6" s="57">
        <f>[2]Resultado!F5</f>
        <v>-21820370</v>
      </c>
      <c r="G6" s="57">
        <f>[2]Resultado!G5</f>
        <v>-20594413</v>
      </c>
      <c r="H6" s="84"/>
      <c r="I6" s="254">
        <f t="shared" si="0"/>
        <v>-4364367</v>
      </c>
      <c r="J6" s="278">
        <f t="shared" si="1"/>
        <v>7.0661023132528644E-2</v>
      </c>
      <c r="K6" s="310"/>
      <c r="L6" s="254" t="e">
        <f>+ROUND((#REF!-#REF!),0)</f>
        <v>#REF!</v>
      </c>
      <c r="M6" s="278">
        <f>IFERROR(L6/#REF!,1)</f>
        <v>1</v>
      </c>
      <c r="N6" s="18"/>
      <c r="O6" s="18">
        <v>10052956</v>
      </c>
    </row>
    <row r="7" spans="1:15" s="85" customFormat="1" ht="21" customHeight="1">
      <c r="B7" s="67" t="s">
        <v>78</v>
      </c>
      <c r="C7" s="59">
        <v>20</v>
      </c>
      <c r="D7" s="57">
        <f>[2]Resultado!D6</f>
        <v>-65341044</v>
      </c>
      <c r="E7" s="57">
        <f>[2]Resultado!E6</f>
        <v>-60663659</v>
      </c>
      <c r="F7" s="57">
        <f>[2]Resultado!F6</f>
        <v>-22494289</v>
      </c>
      <c r="G7" s="57">
        <f>[2]Resultado!G6</f>
        <v>-20698782</v>
      </c>
      <c r="H7" s="84"/>
      <c r="I7" s="254">
        <f t="shared" si="0"/>
        <v>-4677385</v>
      </c>
      <c r="J7" s="278">
        <f t="shared" si="1"/>
        <v>7.7103575305274619E-2</v>
      </c>
      <c r="K7" s="310"/>
      <c r="L7" s="254" t="e">
        <f>+ROUND((#REF!-#REF!),0)</f>
        <v>#REF!</v>
      </c>
      <c r="M7" s="278">
        <f>IFERROR(L7/#REF!,1)</f>
        <v>1</v>
      </c>
      <c r="N7" s="18"/>
      <c r="O7" s="18">
        <v>-49334397</v>
      </c>
    </row>
    <row r="8" spans="1:15" s="85" customFormat="1" ht="21" customHeight="1">
      <c r="B8" s="67" t="s">
        <v>249</v>
      </c>
      <c r="C8" s="59" t="s">
        <v>270</v>
      </c>
      <c r="D8" s="57">
        <f>[2]Resultado!D7</f>
        <v>-64792798</v>
      </c>
      <c r="E8" s="57">
        <f>[2]Resultado!E7</f>
        <v>-60798649</v>
      </c>
      <c r="F8" s="57">
        <f>[2]Resultado!F7</f>
        <v>-22455135</v>
      </c>
      <c r="G8" s="57">
        <f>[2]Resultado!G7</f>
        <v>-20220051</v>
      </c>
      <c r="H8" s="84"/>
      <c r="I8" s="254">
        <f t="shared" si="0"/>
        <v>-3994149</v>
      </c>
      <c r="J8" s="278">
        <f t="shared" si="1"/>
        <v>6.56946998937427E-2</v>
      </c>
      <c r="K8" s="310"/>
      <c r="L8" s="254" t="e">
        <f>+ROUND((#REF!-#REF!),0)</f>
        <v>#REF!</v>
      </c>
      <c r="M8" s="278">
        <f>IFERROR(L8/#REF!,1)</f>
        <v>1</v>
      </c>
      <c r="N8" s="18"/>
      <c r="O8" s="18">
        <v>349033</v>
      </c>
    </row>
    <row r="9" spans="1:15" s="85" customFormat="1" ht="21" customHeight="1">
      <c r="B9" s="69" t="s">
        <v>250</v>
      </c>
      <c r="C9" s="68" t="s">
        <v>271</v>
      </c>
      <c r="D9" s="57">
        <f>[2]Resultado!D14</f>
        <v>-6743311</v>
      </c>
      <c r="E9" s="57">
        <f>[2]Resultado!E14</f>
        <v>-6550791</v>
      </c>
      <c r="F9" s="57">
        <f>[2]Resultado!F14</f>
        <v>-1974386</v>
      </c>
      <c r="G9" s="57">
        <f>[2]Resultado!G14</f>
        <v>36709</v>
      </c>
      <c r="H9" s="84"/>
      <c r="I9" s="254">
        <f t="shared" si="0"/>
        <v>-192520</v>
      </c>
      <c r="J9" s="278">
        <f t="shared" si="1"/>
        <v>2.9388817319923655E-2</v>
      </c>
      <c r="K9" s="310"/>
      <c r="L9" s="254" t="e">
        <f>+ROUND((#REF!-#REF!),0)</f>
        <v>#REF!</v>
      </c>
      <c r="M9" s="278">
        <f>IFERROR(L9/#REF!,1)</f>
        <v>1</v>
      </c>
      <c r="N9" s="26"/>
      <c r="O9" s="18">
        <v>-45945172</v>
      </c>
    </row>
    <row r="10" spans="1:15" s="85" customFormat="1" ht="21" customHeight="1">
      <c r="B10" s="67" t="s">
        <v>80</v>
      </c>
      <c r="C10" s="59">
        <v>26</v>
      </c>
      <c r="D10" s="57">
        <f>[2]Resultado!D9</f>
        <v>-128333710</v>
      </c>
      <c r="E10" s="57">
        <f>[2]Resultado!E9</f>
        <v>-119028718</v>
      </c>
      <c r="F10" s="57">
        <f>[2]Resultado!F9</f>
        <v>-44728888</v>
      </c>
      <c r="G10" s="57">
        <f>[2]Resultado!G9</f>
        <v>-43327383</v>
      </c>
      <c r="H10" s="84"/>
      <c r="I10" s="254">
        <f t="shared" si="0"/>
        <v>-9304992</v>
      </c>
      <c r="J10" s="278">
        <f t="shared" si="1"/>
        <v>7.8174344446858612E-2</v>
      </c>
      <c r="K10" s="310"/>
      <c r="L10" s="254" t="e">
        <f>+ROUND((#REF!-#REF!),0)</f>
        <v>#REF!</v>
      </c>
      <c r="M10" s="278">
        <f>IFERROR(L10/#REF!,1)</f>
        <v>1</v>
      </c>
      <c r="N10" s="18"/>
      <c r="O10" s="26">
        <v>-84877579</v>
      </c>
    </row>
    <row r="11" spans="1:15" s="85" customFormat="1" ht="21" customHeight="1">
      <c r="B11" s="67" t="s">
        <v>214</v>
      </c>
      <c r="C11" s="59">
        <v>27</v>
      </c>
      <c r="D11" s="57">
        <f>[2]Resultado!D10</f>
        <v>-2946528</v>
      </c>
      <c r="E11" s="57">
        <f>[2]Resultado!E10</f>
        <v>1964976</v>
      </c>
      <c r="F11" s="57">
        <f>[2]Resultado!F10</f>
        <v>-1356443</v>
      </c>
      <c r="G11" s="57">
        <f>[2]Resultado!G10</f>
        <v>-381530</v>
      </c>
      <c r="H11" s="84"/>
      <c r="I11" s="254">
        <f t="shared" si="0"/>
        <v>-4911504</v>
      </c>
      <c r="J11" s="278">
        <f t="shared" si="1"/>
        <v>-2.4995236583042235</v>
      </c>
      <c r="K11" s="310"/>
      <c r="L11" s="254" t="e">
        <f>+ROUND((#REF!-#REF!),0)</f>
        <v>#REF!</v>
      </c>
      <c r="M11" s="278">
        <f>IFERROR(L11/#REF!,1)</f>
        <v>1</v>
      </c>
      <c r="N11" s="26"/>
      <c r="O11" s="18">
        <v>310125</v>
      </c>
    </row>
    <row r="12" spans="1:15" s="85" customFormat="1" ht="21" customHeight="1">
      <c r="B12" s="289" t="s">
        <v>230</v>
      </c>
      <c r="C12" s="290"/>
      <c r="D12" s="290">
        <f>+SUM(D5:D11)</f>
        <v>186571083</v>
      </c>
      <c r="E12" s="290">
        <f>+SUM(E5:E11)</f>
        <v>176472637</v>
      </c>
      <c r="F12" s="290">
        <f t="shared" ref="F12:G12" si="2">+SUM(F5:F11)</f>
        <v>43568462</v>
      </c>
      <c r="G12" s="290">
        <f t="shared" si="2"/>
        <v>38287015</v>
      </c>
      <c r="H12" s="84"/>
      <c r="I12" s="254"/>
      <c r="J12" s="278"/>
      <c r="K12" s="310"/>
      <c r="L12" s="254"/>
      <c r="M12" s="278"/>
      <c r="O12" s="18">
        <v>-34306718</v>
      </c>
    </row>
    <row r="13" spans="1:15" s="85" customFormat="1" ht="21" customHeight="1">
      <c r="B13" s="67" t="s">
        <v>84</v>
      </c>
      <c r="C13" s="59">
        <v>27</v>
      </c>
      <c r="D13" s="57">
        <f>[2]Resultado!D12</f>
        <v>10888883</v>
      </c>
      <c r="E13" s="57">
        <f>[2]Resultado!E12</f>
        <v>7604978</v>
      </c>
      <c r="F13" s="57">
        <f>[2]Resultado!F12</f>
        <v>3988236</v>
      </c>
      <c r="G13" s="57">
        <f>[2]Resultado!G12</f>
        <v>2639168</v>
      </c>
      <c r="H13" s="84"/>
      <c r="I13" s="254">
        <f>+ROUND((D13-E13),0)</f>
        <v>3283905</v>
      </c>
      <c r="J13" s="278">
        <f>IFERROR(I13/E13,1)</f>
        <v>0.43180992765528053</v>
      </c>
      <c r="K13" s="310"/>
      <c r="L13" s="254" t="e">
        <f>+ROUND((#REF!-#REF!),0)</f>
        <v>#REF!</v>
      </c>
      <c r="M13" s="278">
        <f>IFERROR(L13/#REF!,1)</f>
        <v>1</v>
      </c>
    </row>
    <row r="14" spans="1:15" s="85" customFormat="1" ht="21" customHeight="1">
      <c r="B14" s="67" t="s">
        <v>251</v>
      </c>
      <c r="C14" s="59">
        <v>27</v>
      </c>
      <c r="D14" s="57">
        <f>[2]Resultado!D13</f>
        <v>-41423467</v>
      </c>
      <c r="E14" s="57">
        <f>[2]Resultado!E13</f>
        <v>-37232930</v>
      </c>
      <c r="F14" s="57">
        <f>[2]Resultado!F13</f>
        <v>-13083322</v>
      </c>
      <c r="G14" s="57">
        <f>[2]Resultado!G13</f>
        <v>-13300111</v>
      </c>
      <c r="H14" s="84"/>
      <c r="I14" s="254">
        <f>+ROUND((D14-E14),0)</f>
        <v>-4190537</v>
      </c>
      <c r="J14" s="278">
        <f>IFERROR(I14/E14,1)</f>
        <v>0.11254921382765203</v>
      </c>
      <c r="K14" s="310"/>
      <c r="L14" s="254" t="e">
        <f>+ROUND((#REF!-#REF!),0)</f>
        <v>#REF!</v>
      </c>
      <c r="M14" s="278">
        <f>IFERROR(L14/#REF!,1)</f>
        <v>1</v>
      </c>
    </row>
    <row r="15" spans="1:15" s="85" customFormat="1" ht="21" customHeight="1">
      <c r="B15" s="414" t="s">
        <v>289</v>
      </c>
      <c r="C15" s="415"/>
      <c r="D15" s="416">
        <f>[2]Resultado!D8</f>
        <v>0</v>
      </c>
      <c r="E15" s="416">
        <f>[2]Resultado!E8</f>
        <v>0</v>
      </c>
      <c r="F15" s="416">
        <f>[2]Resultado!F8</f>
        <v>0</v>
      </c>
      <c r="G15" s="416">
        <f>[2]Resultado!G8</f>
        <v>0</v>
      </c>
      <c r="H15" s="84"/>
      <c r="I15" s="254"/>
      <c r="J15" s="278"/>
      <c r="K15" s="310"/>
      <c r="L15" s="254"/>
      <c r="M15" s="278"/>
    </row>
    <row r="16" spans="1:15" s="85" customFormat="1" ht="21" customHeight="1">
      <c r="B16" s="67" t="s">
        <v>231</v>
      </c>
      <c r="C16" s="59">
        <v>28</v>
      </c>
      <c r="D16" s="57">
        <f>[2]Resultado!D15</f>
        <v>-176705</v>
      </c>
      <c r="E16" s="57">
        <f>[2]Resultado!E15</f>
        <v>269429</v>
      </c>
      <c r="F16" s="57">
        <f>[2]Resultado!F15</f>
        <v>-73181</v>
      </c>
      <c r="G16" s="57">
        <f>[2]Resultado!G15</f>
        <v>-197403</v>
      </c>
      <c r="H16" s="84"/>
      <c r="I16" s="254">
        <f>+ROUND((D16-E16),0)</f>
        <v>-446134</v>
      </c>
      <c r="J16" s="278">
        <f>IFERROR(I16/E16,1)</f>
        <v>-1.655849964183514</v>
      </c>
      <c r="K16" s="310"/>
      <c r="L16" s="254" t="e">
        <f>+ROUND((#REF!-#REF!),0)</f>
        <v>#REF!</v>
      </c>
      <c r="M16" s="278">
        <f>IFERROR(L16/#REF!,1)</f>
        <v>1</v>
      </c>
    </row>
    <row r="17" spans="2:13" s="85" customFormat="1" ht="21" customHeight="1">
      <c r="B17" s="67" t="s">
        <v>252</v>
      </c>
      <c r="C17" s="59">
        <v>29</v>
      </c>
      <c r="D17" s="57">
        <f>[2]Resultado!D16</f>
        <v>-34944708</v>
      </c>
      <c r="E17" s="57">
        <f>[2]Resultado!E16</f>
        <v>-31381630</v>
      </c>
      <c r="F17" s="57">
        <f>[2]Resultado!F16</f>
        <v>-7171027</v>
      </c>
      <c r="G17" s="57">
        <f>[2]Resultado!G16</f>
        <v>-9917250</v>
      </c>
      <c r="H17" s="84"/>
      <c r="I17" s="254">
        <f>+ROUND((D17-E17),0)</f>
        <v>-3563078</v>
      </c>
      <c r="J17" s="278">
        <f>IFERROR(I17/E17,1)</f>
        <v>0.11354024631607727</v>
      </c>
      <c r="K17" s="310"/>
      <c r="L17" s="254" t="e">
        <f>+ROUND((#REF!-#REF!),0)</f>
        <v>#REF!</v>
      </c>
      <c r="M17" s="278">
        <f>IFERROR(L17/#REF!,1)</f>
        <v>1</v>
      </c>
    </row>
    <row r="18" spans="2:13" s="85" customFormat="1" ht="21" customHeight="1" thickBot="1">
      <c r="B18" s="67" t="s">
        <v>233</v>
      </c>
      <c r="C18" s="59"/>
      <c r="D18" s="57"/>
      <c r="E18" s="57"/>
      <c r="F18" s="57"/>
      <c r="G18" s="57"/>
      <c r="H18" s="84"/>
      <c r="I18" s="254"/>
      <c r="J18" s="278"/>
      <c r="K18" s="310"/>
      <c r="L18" s="254"/>
      <c r="M18" s="278"/>
    </row>
    <row r="19" spans="2:13" s="85" customFormat="1" ht="21" customHeight="1" thickBot="1">
      <c r="B19" s="71" t="s">
        <v>200</v>
      </c>
      <c r="C19" s="72"/>
      <c r="D19" s="73">
        <f>SUM(D12:D17)</f>
        <v>120915086</v>
      </c>
      <c r="E19" s="73">
        <f>SUM(E12:E17)</f>
        <v>115732484</v>
      </c>
      <c r="F19" s="73">
        <f t="shared" ref="F19:G19" si="3">SUM(F12:F17)</f>
        <v>27229168</v>
      </c>
      <c r="G19" s="73">
        <f t="shared" si="3"/>
        <v>17511419</v>
      </c>
      <c r="H19" s="84"/>
      <c r="I19" s="276">
        <f>+ROUND((D19-E19),0)</f>
        <v>5182602</v>
      </c>
      <c r="J19" s="281">
        <f>IFERROR(I19/E19,1)</f>
        <v>4.478087586887014E-2</v>
      </c>
      <c r="K19" s="311"/>
      <c r="L19" s="276" t="e">
        <f>+ROUND((#REF!-#REF!),0)</f>
        <v>#REF!</v>
      </c>
      <c r="M19" s="281">
        <f>IFERROR(L19/#REF!,1)</f>
        <v>1</v>
      </c>
    </row>
    <row r="20" spans="2:13" s="85" customFormat="1" ht="21" customHeight="1" thickBot="1">
      <c r="B20" s="67" t="s">
        <v>253</v>
      </c>
      <c r="C20" s="59">
        <v>16</v>
      </c>
      <c r="D20" s="57">
        <f>[2]Resultado!D19</f>
        <v>-23608532</v>
      </c>
      <c r="E20" s="57">
        <f>[2]Resultado!E19</f>
        <v>-24328925</v>
      </c>
      <c r="F20" s="57">
        <f>[2]Resultado!F19</f>
        <v>-5691726</v>
      </c>
      <c r="G20" s="57">
        <f>[2]Resultado!G19</f>
        <v>-2616166</v>
      </c>
      <c r="H20" s="84"/>
      <c r="I20" s="254">
        <f>+ROUND((D20-E20),0)</f>
        <v>720393</v>
      </c>
      <c r="J20" s="278">
        <f>IFERROR(I20/E20,1)</f>
        <v>-2.9610556158975378E-2</v>
      </c>
      <c r="K20" s="310"/>
      <c r="L20" s="254" t="e">
        <f>+ROUND((#REF!-#REF!),0)</f>
        <v>#REF!</v>
      </c>
      <c r="M20" s="278">
        <f>IFERROR(L20/#REF!,1)</f>
        <v>1</v>
      </c>
    </row>
    <row r="21" spans="2:13" s="85" customFormat="1" ht="21" customHeight="1" thickBot="1">
      <c r="B21" s="71" t="s">
        <v>201</v>
      </c>
      <c r="C21" s="74"/>
      <c r="D21" s="73">
        <f>+D19+D20</f>
        <v>97306554</v>
      </c>
      <c r="E21" s="73">
        <f>+E19+E20</f>
        <v>91403559</v>
      </c>
      <c r="F21" s="73">
        <f t="shared" ref="F21:G21" si="4">+F19+F20</f>
        <v>21537442</v>
      </c>
      <c r="G21" s="73">
        <f t="shared" si="4"/>
        <v>14895253</v>
      </c>
      <c r="H21" s="84"/>
      <c r="I21" s="276">
        <f>+ROUND((D21-E21),0)</f>
        <v>5902995</v>
      </c>
      <c r="J21" s="281">
        <f>IFERROR(I21/E21,1)</f>
        <v>6.458167564350531E-2</v>
      </c>
      <c r="K21" s="311"/>
      <c r="L21" s="276" t="e">
        <f>+ROUND((#REF!-#REF!),0)</f>
        <v>#REF!</v>
      </c>
      <c r="M21" s="281">
        <f>IFERROR(L21/#REF!,1)</f>
        <v>1</v>
      </c>
    </row>
    <row r="22" spans="2:13" s="85" customFormat="1" ht="23.25" customHeight="1">
      <c r="B22" s="69" t="s">
        <v>234</v>
      </c>
      <c r="C22" s="75"/>
      <c r="D22" s="57">
        <v>0</v>
      </c>
      <c r="E22" s="57">
        <v>0</v>
      </c>
      <c r="F22" s="57">
        <v>0</v>
      </c>
      <c r="G22" s="57">
        <v>0</v>
      </c>
      <c r="H22" s="84"/>
      <c r="I22" s="254">
        <f>+ROUND((D22-E22),0)</f>
        <v>0</v>
      </c>
      <c r="J22" s="278">
        <f>IFERROR(I22/E22,1)</f>
        <v>1</v>
      </c>
      <c r="K22" s="310"/>
      <c r="L22" s="254" t="e">
        <f>+ROUND((#REF!-#REF!),0)</f>
        <v>#REF!</v>
      </c>
      <c r="M22" s="278">
        <f>IFERROR(L22/#REF!,1)</f>
        <v>1</v>
      </c>
    </row>
    <row r="23" spans="2:13" s="85" customFormat="1" ht="23.25" customHeight="1" thickBot="1">
      <c r="B23" s="69"/>
      <c r="C23" s="75"/>
      <c r="D23" s="57"/>
      <c r="E23" s="57"/>
      <c r="F23" s="57"/>
      <c r="G23" s="57"/>
      <c r="H23" s="84"/>
      <c r="I23" s="254"/>
      <c r="J23" s="278"/>
      <c r="K23" s="310"/>
      <c r="L23" s="254"/>
      <c r="M23" s="278"/>
    </row>
    <row r="24" spans="2:13" s="85" customFormat="1" ht="21" customHeight="1" thickBot="1">
      <c r="B24" s="71" t="s">
        <v>114</v>
      </c>
      <c r="C24" s="74"/>
      <c r="D24" s="73">
        <f>+D21+D22</f>
        <v>97306554</v>
      </c>
      <c r="E24" s="73">
        <f t="shared" ref="E24" si="5">+E21+E22</f>
        <v>91403559</v>
      </c>
      <c r="F24" s="73">
        <f t="shared" ref="F24:G24" si="6">+F21+F22</f>
        <v>21537442</v>
      </c>
      <c r="G24" s="73">
        <f t="shared" si="6"/>
        <v>14895253</v>
      </c>
      <c r="H24" s="84"/>
      <c r="I24" s="276">
        <f>+ROUND((D24-E24),0)</f>
        <v>5902995</v>
      </c>
      <c r="J24" s="281">
        <f>IFERROR(I24/E24,1)</f>
        <v>6.458167564350531E-2</v>
      </c>
      <c r="K24" s="311"/>
      <c r="L24" s="276" t="e">
        <f>+ROUND((#REF!-#REF!),0)</f>
        <v>#REF!</v>
      </c>
      <c r="M24" s="281">
        <f>IFERROR(L24/#REF!,1)</f>
        <v>1</v>
      </c>
    </row>
    <row r="25" spans="2:13" s="85" customFormat="1" ht="21" customHeight="1" thickBot="1">
      <c r="B25" s="76" t="s">
        <v>202</v>
      </c>
      <c r="C25" s="77" t="s">
        <v>0</v>
      </c>
      <c r="D25" s="78"/>
      <c r="E25" s="70"/>
      <c r="F25" s="70"/>
      <c r="G25" s="70"/>
      <c r="H25" s="84"/>
      <c r="I25" s="254"/>
      <c r="J25" s="278"/>
      <c r="K25" s="310"/>
      <c r="L25" s="254"/>
      <c r="M25" s="278"/>
    </row>
    <row r="26" spans="2:13" s="85" customFormat="1" ht="21" customHeight="1" thickBot="1">
      <c r="B26" s="79" t="s">
        <v>90</v>
      </c>
      <c r="C26" s="74"/>
      <c r="D26" s="80">
        <f>+D24-D27</f>
        <v>97304965</v>
      </c>
      <c r="E26" s="80">
        <f>+E24-E27</f>
        <v>91402116</v>
      </c>
      <c r="F26" s="80">
        <f t="shared" ref="F26:G26" si="7">+F24-F27</f>
        <v>21537139</v>
      </c>
      <c r="G26" s="80">
        <f t="shared" si="7"/>
        <v>14895038</v>
      </c>
      <c r="H26" s="84"/>
      <c r="I26" s="276">
        <f>+ROUND((D26-E26),0)</f>
        <v>5902849</v>
      </c>
      <c r="J26" s="281">
        <f>IFERROR(I26/E26,1)</f>
        <v>6.4581097881803967E-2</v>
      </c>
      <c r="K26" s="311"/>
      <c r="L26" s="276" t="e">
        <f>+ROUND((#REF!-#REF!),0)</f>
        <v>#REF!</v>
      </c>
      <c r="M26" s="281">
        <f>IFERROR(L26/#REF!,1)</f>
        <v>1</v>
      </c>
    </row>
    <row r="27" spans="2:13" s="85" customFormat="1" ht="21" customHeight="1" thickBot="1">
      <c r="B27" s="69" t="s">
        <v>269</v>
      </c>
      <c r="C27" s="59">
        <v>23</v>
      </c>
      <c r="D27" s="57">
        <f>[2]Resultado!D26</f>
        <v>1589</v>
      </c>
      <c r="E27" s="57">
        <f>[2]Resultado!E26</f>
        <v>1443</v>
      </c>
      <c r="F27" s="57">
        <f>[2]Resultado!F26</f>
        <v>303</v>
      </c>
      <c r="G27" s="57">
        <f>[2]Resultado!G26</f>
        <v>215</v>
      </c>
      <c r="H27" s="84"/>
      <c r="I27" s="254">
        <f>+ROUND((D27-E27),0)</f>
        <v>146</v>
      </c>
      <c r="J27" s="278">
        <f>IFERROR(I27/E27,1)</f>
        <v>0.10117810117810118</v>
      </c>
      <c r="K27" s="310"/>
      <c r="L27" s="254" t="e">
        <f>+ROUND((#REF!-#REF!),0)</f>
        <v>#REF!</v>
      </c>
      <c r="M27" s="278">
        <f>IFERROR(L27/#REF!,1)</f>
        <v>1</v>
      </c>
    </row>
    <row r="28" spans="2:13" s="85" customFormat="1" ht="21" customHeight="1" thickBot="1">
      <c r="B28" s="81" t="s">
        <v>115</v>
      </c>
      <c r="C28" s="82"/>
      <c r="D28" s="80">
        <f>+D26+D27</f>
        <v>97306554</v>
      </c>
      <c r="E28" s="80">
        <f t="shared" ref="E28" si="8">+E26+E27</f>
        <v>91403559</v>
      </c>
      <c r="F28" s="80">
        <f t="shared" ref="F28:G28" si="9">+F26+F27</f>
        <v>21537442</v>
      </c>
      <c r="G28" s="80">
        <f t="shared" si="9"/>
        <v>14895253</v>
      </c>
      <c r="H28" s="84"/>
      <c r="I28" s="276">
        <f>+ROUND((D28-E28),0)</f>
        <v>5902995</v>
      </c>
      <c r="J28" s="281">
        <f>IFERROR(I28/E28,1)</f>
        <v>6.458167564350531E-2</v>
      </c>
      <c r="K28" s="311"/>
      <c r="L28" s="276" t="e">
        <f>+ROUND((#REF!-#REF!),0)</f>
        <v>#REF!</v>
      </c>
      <c r="M28" s="281">
        <f>IFERROR(L28/#REF!,1)</f>
        <v>1</v>
      </c>
    </row>
    <row r="29" spans="2:13" s="85" customFormat="1" ht="21" customHeight="1">
      <c r="B29" s="83" t="s">
        <v>203</v>
      </c>
      <c r="C29" s="77"/>
      <c r="D29" s="84"/>
      <c r="E29" s="70"/>
      <c r="F29" s="70"/>
      <c r="G29" s="70"/>
      <c r="I29" s="254"/>
      <c r="J29" s="278"/>
      <c r="K29" s="310"/>
      <c r="L29" s="254"/>
      <c r="M29" s="278"/>
    </row>
    <row r="30" spans="2:13" s="85" customFormat="1" ht="21" customHeight="1">
      <c r="B30" s="249" t="s">
        <v>226</v>
      </c>
      <c r="C30" s="59">
        <v>31</v>
      </c>
      <c r="D30" s="250">
        <f>+D26/6118965</f>
        <v>15.902193426502684</v>
      </c>
      <c r="E30" s="250">
        <f>+E26/6118965</f>
        <v>14.937512471471891</v>
      </c>
      <c r="F30" s="250">
        <f t="shared" ref="F30:G30" si="10">+F26/6118965</f>
        <v>3.5197356088815672</v>
      </c>
      <c r="G30" s="250">
        <f t="shared" si="10"/>
        <v>2.4342414117420184</v>
      </c>
      <c r="I30" s="254"/>
      <c r="J30" s="278"/>
      <c r="K30" s="310"/>
      <c r="L30" s="254"/>
      <c r="M30" s="278"/>
    </row>
    <row r="31" spans="2:13" s="85" customFormat="1" ht="21" customHeight="1" thickBot="1">
      <c r="B31" s="86" t="s">
        <v>116</v>
      </c>
      <c r="C31" s="87"/>
      <c r="D31" s="88">
        <f>+D30</f>
        <v>15.902193426502684</v>
      </c>
      <c r="E31" s="88">
        <f t="shared" ref="E31" si="11">+E30</f>
        <v>14.937512471471891</v>
      </c>
      <c r="F31" s="88">
        <f t="shared" ref="F31:G31" si="12">+F30</f>
        <v>3.5197356088815672</v>
      </c>
      <c r="G31" s="88">
        <f t="shared" si="12"/>
        <v>2.4342414117420184</v>
      </c>
      <c r="I31" s="279"/>
      <c r="J31" s="280"/>
      <c r="K31" s="310"/>
      <c r="L31" s="279"/>
      <c r="M31" s="280"/>
    </row>
    <row r="32" spans="2:13" ht="9" customHeight="1">
      <c r="B32" s="94"/>
      <c r="C32" s="94"/>
      <c r="D32" s="94"/>
      <c r="E32" s="94"/>
      <c r="F32" s="111"/>
      <c r="G32" s="111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00B050"/>
  </sheetPr>
  <dimension ref="A2:I69"/>
  <sheetViews>
    <sheetView showGridLines="0" zoomScale="90" zoomScaleNormal="90" workbookViewId="0">
      <selection activeCell="D69" sqref="D69"/>
    </sheetView>
  </sheetViews>
  <sheetFormatPr baseColWidth="10" defaultColWidth="11.44140625" defaultRowHeight="13.8"/>
  <cols>
    <col min="1" max="1" width="10.44140625" style="378" customWidth="1"/>
    <col min="2" max="2" width="56.5546875" style="379" customWidth="1"/>
    <col min="3" max="3" width="7.5546875" style="379" customWidth="1"/>
    <col min="4" max="5" width="14.44140625" style="379" customWidth="1"/>
    <col min="6" max="6" width="8" style="379" customWidth="1"/>
    <col min="7" max="7" width="12.5546875" style="253" bestFit="1" customWidth="1"/>
    <col min="8" max="8" width="11.44140625" style="257"/>
    <col min="9" max="9" width="11.44140625" style="378"/>
    <col min="10" max="10" width="13" style="378" bestFit="1" customWidth="1"/>
    <col min="11" max="16384" width="11.44140625" style="378"/>
  </cols>
  <sheetData>
    <row r="2" spans="1:9" ht="21.75" customHeight="1" thickBot="1"/>
    <row r="3" spans="1:9" s="114" customFormat="1" ht="18" customHeight="1">
      <c r="A3" s="380"/>
      <c r="B3" s="463" t="s">
        <v>91</v>
      </c>
      <c r="C3" s="458" t="s">
        <v>92</v>
      </c>
      <c r="D3" s="53">
        <f>+[2]Activo!$D$2</f>
        <v>45930</v>
      </c>
      <c r="E3" s="54">
        <v>45291</v>
      </c>
      <c r="F3" s="112"/>
      <c r="G3" s="465" t="s">
        <v>189</v>
      </c>
      <c r="H3" s="466"/>
    </row>
    <row r="4" spans="1:9" s="114" customFormat="1" ht="18" customHeight="1">
      <c r="A4" s="113"/>
      <c r="B4" s="464"/>
      <c r="C4" s="459"/>
      <c r="D4" s="381" t="s">
        <v>4</v>
      </c>
      <c r="E4" s="382" t="s">
        <v>4</v>
      </c>
      <c r="F4" s="383"/>
      <c r="G4" s="273" t="s">
        <v>4</v>
      </c>
      <c r="H4" s="274" t="s">
        <v>60</v>
      </c>
    </row>
    <row r="5" spans="1:9" s="114" customFormat="1" ht="21" customHeight="1">
      <c r="A5" s="113"/>
      <c r="B5" s="384" t="s">
        <v>93</v>
      </c>
      <c r="C5" s="56"/>
      <c r="D5" s="57"/>
      <c r="E5" s="58"/>
      <c r="F5" s="113"/>
      <c r="G5" s="254"/>
      <c r="H5" s="275"/>
    </row>
    <row r="6" spans="1:9" s="114" customFormat="1" ht="21" customHeight="1">
      <c r="A6" s="113"/>
      <c r="B6" s="65" t="s">
        <v>94</v>
      </c>
      <c r="C6" s="56">
        <v>4</v>
      </c>
      <c r="D6" s="258">
        <f>[2]Activo!D5</f>
        <v>193886525</v>
      </c>
      <c r="E6" s="258">
        <f>[2]Activo!E5</f>
        <v>108758431</v>
      </c>
      <c r="G6" s="254">
        <f>ROUND(+(D6-E6),0)</f>
        <v>85128094</v>
      </c>
      <c r="H6" s="275">
        <f>IFERROR(G6/E6,1)</f>
        <v>0.78272638927643223</v>
      </c>
      <c r="I6" s="114" t="s">
        <v>278</v>
      </c>
    </row>
    <row r="7" spans="1:9" s="114" customFormat="1" ht="21" customHeight="1">
      <c r="A7" s="113"/>
      <c r="B7" s="65" t="s">
        <v>193</v>
      </c>
      <c r="C7" s="56">
        <v>11</v>
      </c>
      <c r="D7" s="258">
        <f>[2]Activo!D6</f>
        <v>7178942</v>
      </c>
      <c r="E7" s="258">
        <f>[2]Activo!E6</f>
        <v>0</v>
      </c>
      <c r="G7" s="254">
        <f t="shared" ref="G7:G14" si="0">ROUND(+(D7-E7),0)</f>
        <v>7178942</v>
      </c>
      <c r="H7" s="275">
        <f t="shared" ref="H7:H54" si="1">IFERROR(G7/E7,1)</f>
        <v>1</v>
      </c>
      <c r="I7" s="114" t="s">
        <v>279</v>
      </c>
    </row>
    <row r="8" spans="1:9" s="114" customFormat="1" ht="21" customHeight="1">
      <c r="A8" s="113"/>
      <c r="B8" s="65" t="s">
        <v>95</v>
      </c>
      <c r="C8" s="56">
        <v>10</v>
      </c>
      <c r="D8" s="258">
        <f>[2]Activo!D7</f>
        <v>6395885</v>
      </c>
      <c r="E8" s="258">
        <f>[2]Activo!E7</f>
        <v>3641630</v>
      </c>
      <c r="G8" s="254">
        <f t="shared" si="0"/>
        <v>2754255</v>
      </c>
      <c r="H8" s="275">
        <f t="shared" si="1"/>
        <v>0.75632477764078176</v>
      </c>
      <c r="I8" s="114" t="s">
        <v>280</v>
      </c>
    </row>
    <row r="9" spans="1:9" s="114" customFormat="1" ht="21" customHeight="1">
      <c r="A9" s="113"/>
      <c r="B9" s="65" t="s">
        <v>96</v>
      </c>
      <c r="C9" s="56">
        <v>5</v>
      </c>
      <c r="D9" s="258">
        <f>[2]Activo!D8</f>
        <v>123731325</v>
      </c>
      <c r="E9" s="258">
        <f>[2]Activo!E8</f>
        <v>132404464</v>
      </c>
      <c r="G9" s="254">
        <f t="shared" si="0"/>
        <v>-8673139</v>
      </c>
      <c r="H9" s="275">
        <f t="shared" si="1"/>
        <v>-6.5504883581568668E-2</v>
      </c>
      <c r="I9" s="114" t="s">
        <v>281</v>
      </c>
    </row>
    <row r="10" spans="1:9" s="114" customFormat="1" ht="21" customHeight="1">
      <c r="A10" s="113"/>
      <c r="B10" s="65" t="s">
        <v>97</v>
      </c>
      <c r="C10" s="56">
        <v>6</v>
      </c>
      <c r="D10" s="258">
        <f>[2]Activo!D9</f>
        <v>16791</v>
      </c>
      <c r="E10" s="258">
        <f>[2]Activo!E9</f>
        <v>73679</v>
      </c>
      <c r="G10" s="254">
        <f t="shared" si="0"/>
        <v>-56888</v>
      </c>
      <c r="H10" s="275">
        <f t="shared" si="1"/>
        <v>-0.77210602749765878</v>
      </c>
    </row>
    <row r="11" spans="1:9" s="114" customFormat="1" ht="21" customHeight="1">
      <c r="A11" s="113"/>
      <c r="B11" s="65" t="s">
        <v>98</v>
      </c>
      <c r="C11" s="56">
        <v>7</v>
      </c>
      <c r="D11" s="258">
        <f>[2]Activo!D10</f>
        <v>11515188</v>
      </c>
      <c r="E11" s="258">
        <f>[2]Activo!E10</f>
        <v>10476577</v>
      </c>
      <c r="G11" s="254">
        <f t="shared" si="0"/>
        <v>1038611</v>
      </c>
      <c r="H11" s="275">
        <f t="shared" si="1"/>
        <v>9.9136483223480343E-2</v>
      </c>
    </row>
    <row r="12" spans="1:9" s="114" customFormat="1" ht="21" customHeight="1" thickBot="1">
      <c r="A12" s="113"/>
      <c r="B12" s="65" t="s">
        <v>254</v>
      </c>
      <c r="C12" s="56">
        <v>8</v>
      </c>
      <c r="D12" s="258">
        <f>[2]Activo!D11</f>
        <v>12450170</v>
      </c>
      <c r="E12" s="258">
        <f>[2]Activo!E11</f>
        <v>33347482</v>
      </c>
      <c r="G12" s="254">
        <f t="shared" si="0"/>
        <v>-20897312</v>
      </c>
      <c r="H12" s="275">
        <f t="shared" si="1"/>
        <v>-0.62665337071026828</v>
      </c>
      <c r="I12" s="396"/>
    </row>
    <row r="13" spans="1:9" s="114" customFormat="1" ht="36" customHeight="1" thickBot="1">
      <c r="A13" s="113"/>
      <c r="B13" s="60" t="s">
        <v>99</v>
      </c>
      <c r="C13" s="377"/>
      <c r="D13" s="260">
        <f>[2]Activo!D12</f>
        <v>355174826</v>
      </c>
      <c r="E13" s="261">
        <f>[2]Activo!E12</f>
        <v>288702263</v>
      </c>
      <c r="F13" s="115"/>
      <c r="G13" s="276">
        <f>ROUND(+(D13-E13),0)</f>
        <v>66472563</v>
      </c>
      <c r="H13" s="277">
        <f t="shared" si="1"/>
        <v>0.23024607534856767</v>
      </c>
    </row>
    <row r="14" spans="1:9" s="114" customFormat="1" ht="21" customHeight="1" thickBot="1">
      <c r="A14" s="113"/>
      <c r="B14" s="65" t="s">
        <v>255</v>
      </c>
      <c r="C14" s="56">
        <v>9</v>
      </c>
      <c r="D14" s="258">
        <f>[2]Activo!D13</f>
        <v>0</v>
      </c>
      <c r="E14" s="258">
        <f>[2]Activo!E13</f>
        <v>0</v>
      </c>
      <c r="G14" s="254">
        <f t="shared" si="0"/>
        <v>0</v>
      </c>
      <c r="H14" s="275">
        <f t="shared" si="1"/>
        <v>1</v>
      </c>
    </row>
    <row r="15" spans="1:9" s="114" customFormat="1" ht="21" customHeight="1" thickBot="1">
      <c r="A15" s="113"/>
      <c r="B15" s="61" t="s">
        <v>100</v>
      </c>
      <c r="C15" s="377"/>
      <c r="D15" s="262">
        <f>[2]Activo!D14</f>
        <v>355174826</v>
      </c>
      <c r="E15" s="263">
        <f>[2]Activo!E14</f>
        <v>288702263</v>
      </c>
      <c r="F15" s="116"/>
      <c r="G15" s="276">
        <f>ROUND(+(D15-E15),0)</f>
        <v>66472563</v>
      </c>
      <c r="H15" s="277">
        <f t="shared" si="1"/>
        <v>0.23024607534856767</v>
      </c>
    </row>
    <row r="16" spans="1:9" s="114" customFormat="1" ht="21" customHeight="1">
      <c r="A16" s="113"/>
      <c r="B16" s="384" t="s">
        <v>217</v>
      </c>
      <c r="C16" s="62"/>
      <c r="D16" s="264"/>
      <c r="E16" s="265"/>
      <c r="F16" s="115"/>
      <c r="G16" s="254"/>
      <c r="H16" s="275"/>
    </row>
    <row r="17" spans="1:9" s="114" customFormat="1" ht="21" customHeight="1">
      <c r="A17" s="113"/>
      <c r="B17" s="65" t="s">
        <v>193</v>
      </c>
      <c r="C17" s="56">
        <v>11</v>
      </c>
      <c r="D17" s="258">
        <f>[2]Activo!D16</f>
        <v>22231573</v>
      </c>
      <c r="E17" s="258">
        <f>[2]Activo!E16</f>
        <v>15898043</v>
      </c>
      <c r="G17" s="254">
        <f t="shared" ref="G17:G26" si="2">ROUND(+(D17-E17),0)</f>
        <v>6333530</v>
      </c>
      <c r="H17" s="275">
        <f t="shared" si="1"/>
        <v>0.39838425396132088</v>
      </c>
    </row>
    <row r="18" spans="1:9" s="114" customFormat="1" ht="21" customHeight="1">
      <c r="A18" s="113"/>
      <c r="B18" s="65" t="s">
        <v>95</v>
      </c>
      <c r="C18" s="56">
        <v>10</v>
      </c>
      <c r="D18" s="258">
        <f>[2]Activo!D17</f>
        <v>6422786</v>
      </c>
      <c r="E18" s="258">
        <f>[2]Activo!E17</f>
        <v>6656551</v>
      </c>
      <c r="G18" s="254">
        <f t="shared" si="2"/>
        <v>-233765</v>
      </c>
      <c r="H18" s="275">
        <f t="shared" si="1"/>
        <v>-3.5118036352459407E-2</v>
      </c>
      <c r="I18" s="114" t="s">
        <v>282</v>
      </c>
    </row>
    <row r="19" spans="1:9" s="114" customFormat="1" ht="21" customHeight="1">
      <c r="A19" s="113"/>
      <c r="B19" s="65" t="s">
        <v>194</v>
      </c>
      <c r="C19" s="56">
        <v>5</v>
      </c>
      <c r="D19" s="258">
        <f>[2]Activo!D18</f>
        <v>3350099</v>
      </c>
      <c r="E19" s="258">
        <f>[2]Activo!E18</f>
        <v>3440746</v>
      </c>
      <c r="G19" s="254">
        <f t="shared" si="2"/>
        <v>-90647</v>
      </c>
      <c r="H19" s="275">
        <f t="shared" si="1"/>
        <v>-2.6345158869617229E-2</v>
      </c>
    </row>
    <row r="20" spans="1:9" s="114" customFormat="1" ht="21" hidden="1" customHeight="1">
      <c r="A20" s="113"/>
      <c r="B20" s="65" t="s">
        <v>232</v>
      </c>
      <c r="C20" s="56"/>
      <c r="D20" s="258">
        <f>[2]Activo!D19</f>
        <v>0</v>
      </c>
      <c r="E20" s="258">
        <f>[2]Activo!E19</f>
        <v>0</v>
      </c>
      <c r="G20" s="254"/>
      <c r="H20" s="275"/>
    </row>
    <row r="21" spans="1:9" s="114" customFormat="1" ht="21" customHeight="1">
      <c r="A21" s="113"/>
      <c r="B21" s="65" t="s">
        <v>101</v>
      </c>
      <c r="C21" s="56">
        <v>12</v>
      </c>
      <c r="D21" s="258">
        <f>[2]Activo!D20</f>
        <v>617760203</v>
      </c>
      <c r="E21" s="258">
        <f>[2]Activo!E20</f>
        <v>619303933</v>
      </c>
      <c r="G21" s="254">
        <f t="shared" si="2"/>
        <v>-1543730</v>
      </c>
      <c r="H21" s="275">
        <f t="shared" si="1"/>
        <v>-2.4926856067616801E-3</v>
      </c>
      <c r="I21" s="114" t="s">
        <v>283</v>
      </c>
    </row>
    <row r="22" spans="1:9" s="114" customFormat="1" ht="21" customHeight="1">
      <c r="A22" s="113"/>
      <c r="B22" s="65" t="s">
        <v>290</v>
      </c>
      <c r="C22" s="56">
        <v>13</v>
      </c>
      <c r="D22" s="258">
        <f>[2]Activo!D21</f>
        <v>33823049</v>
      </c>
      <c r="E22" s="258">
        <f>[2]Activo!E21</f>
        <v>33823049</v>
      </c>
      <c r="G22" s="254">
        <f t="shared" si="2"/>
        <v>0</v>
      </c>
      <c r="H22" s="275">
        <f t="shared" si="1"/>
        <v>0</v>
      </c>
    </row>
    <row r="23" spans="1:9" s="114" customFormat="1" ht="21" customHeight="1">
      <c r="A23" s="113"/>
      <c r="B23" s="65" t="s">
        <v>256</v>
      </c>
      <c r="C23" s="56">
        <v>14</v>
      </c>
      <c r="D23" s="258">
        <f>[2]Activo!D22</f>
        <v>2104428574</v>
      </c>
      <c r="E23" s="258">
        <f>[2]Activo!E22</f>
        <v>2044544144</v>
      </c>
      <c r="G23" s="254">
        <f t="shared" si="2"/>
        <v>59884430</v>
      </c>
      <c r="H23" s="275">
        <f t="shared" si="1"/>
        <v>2.9289868930313497E-2</v>
      </c>
      <c r="I23" s="114" t="s">
        <v>284</v>
      </c>
    </row>
    <row r="24" spans="1:9" s="114" customFormat="1" ht="21" customHeight="1">
      <c r="A24" s="113"/>
      <c r="B24" s="65" t="s">
        <v>228</v>
      </c>
      <c r="C24" s="56">
        <v>15</v>
      </c>
      <c r="D24" s="258">
        <f>[2]Activo!D23</f>
        <v>5878710</v>
      </c>
      <c r="E24" s="258">
        <f>[2]Activo!E23</f>
        <v>3707341</v>
      </c>
      <c r="G24" s="254">
        <f t="shared" ref="G24" si="3">ROUND(+(D24-E24),0)</f>
        <v>2171369</v>
      </c>
      <c r="H24" s="275">
        <f t="shared" ref="H24" si="4">IFERROR(G24/E24,1)</f>
        <v>0.58569443706419233</v>
      </c>
    </row>
    <row r="25" spans="1:9" s="114" customFormat="1" ht="21" customHeight="1" thickBot="1">
      <c r="A25" s="113"/>
      <c r="B25" s="65" t="s">
        <v>257</v>
      </c>
      <c r="C25" s="56">
        <v>16</v>
      </c>
      <c r="D25" s="258">
        <f>[2]Activo!D24</f>
        <v>2243810</v>
      </c>
      <c r="E25" s="258">
        <f>[2]Activo!E24</f>
        <v>2083265</v>
      </c>
      <c r="G25" s="254">
        <f t="shared" si="2"/>
        <v>160545</v>
      </c>
      <c r="H25" s="275">
        <f t="shared" si="1"/>
        <v>7.7064127703388677E-2</v>
      </c>
      <c r="I25" s="396"/>
    </row>
    <row r="26" spans="1:9" s="114" customFormat="1" ht="21" customHeight="1" thickBot="1">
      <c r="A26" s="113"/>
      <c r="B26" s="376" t="s">
        <v>102</v>
      </c>
      <c r="C26" s="377"/>
      <c r="D26" s="260">
        <f>[2]Activo!D26</f>
        <v>2796138804</v>
      </c>
      <c r="E26" s="261">
        <f>[2]Activo!E26</f>
        <v>2729457072</v>
      </c>
      <c r="F26" s="115"/>
      <c r="G26" s="276">
        <f t="shared" si="2"/>
        <v>66681732</v>
      </c>
      <c r="H26" s="277">
        <f t="shared" si="1"/>
        <v>2.4430401446518885E-2</v>
      </c>
    </row>
    <row r="27" spans="1:9" s="113" customFormat="1" ht="11.25" customHeight="1" thickBot="1">
      <c r="A27" s="385"/>
      <c r="B27" s="65"/>
      <c r="C27" s="59"/>
      <c r="D27" s="258"/>
      <c r="E27" s="259"/>
      <c r="F27" s="114"/>
      <c r="G27" s="254"/>
      <c r="H27" s="275"/>
    </row>
    <row r="28" spans="1:9" s="114" customFormat="1" ht="21" customHeight="1" thickBot="1">
      <c r="B28" s="386" t="s">
        <v>195</v>
      </c>
      <c r="C28" s="63"/>
      <c r="D28" s="266">
        <f>[2]Activo!D28</f>
        <v>3151313630</v>
      </c>
      <c r="E28" s="267">
        <f>[2]Activo!E28</f>
        <v>3018159335</v>
      </c>
      <c r="F28" s="115"/>
      <c r="G28" s="276">
        <f>ROUND(+(D28-E28),0)</f>
        <v>133154295</v>
      </c>
      <c r="H28" s="277">
        <f t="shared" si="1"/>
        <v>4.4117715541349974E-2</v>
      </c>
    </row>
    <row r="29" spans="1:9">
      <c r="B29" s="387"/>
      <c r="C29" s="387"/>
      <c r="D29" s="117"/>
      <c r="E29" s="117"/>
      <c r="F29" s="117"/>
      <c r="G29" s="256"/>
      <c r="H29" s="275"/>
    </row>
    <row r="30" spans="1:9" ht="14.4" thickBot="1">
      <c r="B30" s="387"/>
      <c r="C30" s="387"/>
      <c r="D30" s="117"/>
      <c r="E30" s="117"/>
      <c r="F30" s="117"/>
      <c r="G30" s="256"/>
      <c r="H30" s="275"/>
    </row>
    <row r="31" spans="1:9" s="114" customFormat="1" ht="20.25" customHeight="1">
      <c r="A31" s="380"/>
      <c r="B31" s="463" t="s">
        <v>103</v>
      </c>
      <c r="C31" s="458" t="s">
        <v>92</v>
      </c>
      <c r="D31" s="53">
        <f>+D3</f>
        <v>45930</v>
      </c>
      <c r="E31" s="54">
        <f>+E3</f>
        <v>45291</v>
      </c>
      <c r="G31" s="254"/>
      <c r="H31" s="275"/>
    </row>
    <row r="32" spans="1:9" s="114" customFormat="1" ht="18" customHeight="1">
      <c r="A32" s="113"/>
      <c r="B32" s="464"/>
      <c r="C32" s="459"/>
      <c r="D32" s="381" t="s">
        <v>4</v>
      </c>
      <c r="E32" s="382" t="s">
        <v>4</v>
      </c>
      <c r="G32" s="254"/>
      <c r="H32" s="275"/>
    </row>
    <row r="33" spans="1:9" s="114" customFormat="1" ht="18" customHeight="1">
      <c r="A33" s="113"/>
      <c r="B33" s="384" t="s">
        <v>104</v>
      </c>
      <c r="C33" s="388"/>
      <c r="D33" s="57"/>
      <c r="E33" s="58"/>
      <c r="G33" s="254"/>
      <c r="H33" s="275"/>
    </row>
    <row r="34" spans="1:9" s="113" customFormat="1" ht="18" customHeight="1">
      <c r="B34" s="65" t="s">
        <v>263</v>
      </c>
      <c r="C34" s="56">
        <v>17</v>
      </c>
      <c r="D34" s="258">
        <f>[2]Pasivo!D5</f>
        <v>67890939</v>
      </c>
      <c r="E34" s="258">
        <f>[2]Pasivo!E5</f>
        <v>116332739</v>
      </c>
      <c r="F34" s="114"/>
      <c r="G34" s="254">
        <f t="shared" ref="G34:G42" si="5">ROUND(+(D34-E34),0)</f>
        <v>-48441800</v>
      </c>
      <c r="H34" s="275">
        <f t="shared" si="1"/>
        <v>-0.41640728496902318</v>
      </c>
      <c r="I34" s="113" t="s">
        <v>285</v>
      </c>
    </row>
    <row r="35" spans="1:9" s="113" customFormat="1" ht="18" customHeight="1">
      <c r="B35" s="65" t="s">
        <v>229</v>
      </c>
      <c r="C35" s="56">
        <v>15</v>
      </c>
      <c r="D35" s="258">
        <f>[2]Pasivo!D6</f>
        <v>2721478</v>
      </c>
      <c r="E35" s="258">
        <f>[2]Pasivo!E6</f>
        <v>1802206</v>
      </c>
      <c r="F35" s="114"/>
      <c r="G35" s="254">
        <f t="shared" ref="G35" si="6">ROUND(+(D35-E35),0)</f>
        <v>919272</v>
      </c>
      <c r="H35" s="275">
        <f t="shared" ref="H35" si="7">IFERROR(G35/E35,1)</f>
        <v>0.51008153340961027</v>
      </c>
    </row>
    <row r="36" spans="1:9" s="113" customFormat="1" ht="18" customHeight="1">
      <c r="B36" s="65" t="s">
        <v>258</v>
      </c>
      <c r="C36" s="56">
        <v>18</v>
      </c>
      <c r="D36" s="258">
        <f>[2]Pasivo!D7</f>
        <v>162683570</v>
      </c>
      <c r="E36" s="258">
        <f>[2]Pasivo!E7</f>
        <v>184642753</v>
      </c>
      <c r="F36" s="114"/>
      <c r="G36" s="254">
        <f t="shared" si="5"/>
        <v>-21959183</v>
      </c>
      <c r="H36" s="275">
        <f t="shared" si="1"/>
        <v>-0.11892794406071275</v>
      </c>
      <c r="I36" s="114" t="s">
        <v>286</v>
      </c>
    </row>
    <row r="37" spans="1:9" s="113" customFormat="1" ht="18" customHeight="1">
      <c r="B37" s="65" t="s">
        <v>105</v>
      </c>
      <c r="C37" s="56">
        <v>6</v>
      </c>
      <c r="D37" s="258">
        <f>[2]Pasivo!D8</f>
        <v>1564188</v>
      </c>
      <c r="E37" s="258">
        <f>[2]Pasivo!E8</f>
        <v>22293636</v>
      </c>
      <c r="F37" s="114"/>
      <c r="G37" s="254">
        <f t="shared" si="5"/>
        <v>-20729448</v>
      </c>
      <c r="H37" s="275">
        <f t="shared" si="1"/>
        <v>-0.92983701716489853</v>
      </c>
    </row>
    <row r="38" spans="1:9" s="113" customFormat="1" ht="18" customHeight="1">
      <c r="B38" s="65" t="s">
        <v>109</v>
      </c>
      <c r="C38" s="56">
        <v>19</v>
      </c>
      <c r="D38" s="258">
        <f>[2]Pasivo!D9</f>
        <v>1332886</v>
      </c>
      <c r="E38" s="258">
        <f>[2]Pasivo!E9</f>
        <v>1060276</v>
      </c>
      <c r="F38" s="114"/>
      <c r="G38" s="254">
        <f t="shared" si="5"/>
        <v>272610</v>
      </c>
      <c r="H38" s="275">
        <f t="shared" si="1"/>
        <v>0.25711229906175376</v>
      </c>
    </row>
    <row r="39" spans="1:9" s="113" customFormat="1" ht="18" customHeight="1">
      <c r="B39" s="65" t="s">
        <v>106</v>
      </c>
      <c r="C39" s="56">
        <v>8</v>
      </c>
      <c r="D39" s="258">
        <f>[2]Pasivo!D10</f>
        <v>49904</v>
      </c>
      <c r="E39" s="258">
        <f>[2]Pasivo!E10</f>
        <v>538435</v>
      </c>
      <c r="F39" s="114"/>
      <c r="G39" s="254">
        <f t="shared" si="5"/>
        <v>-488531</v>
      </c>
      <c r="H39" s="275">
        <f t="shared" si="1"/>
        <v>-0.90731657488833373</v>
      </c>
    </row>
    <row r="40" spans="1:9" s="113" customFormat="1" ht="18" customHeight="1">
      <c r="B40" s="65" t="s">
        <v>259</v>
      </c>
      <c r="C40" s="56">
        <v>20</v>
      </c>
      <c r="D40" s="258">
        <f>[2]Pasivo!D11</f>
        <v>6441869</v>
      </c>
      <c r="E40" s="258">
        <f>[2]Pasivo!E11</f>
        <v>7471420</v>
      </c>
      <c r="F40" s="114"/>
      <c r="G40" s="254">
        <f t="shared" si="5"/>
        <v>-1029551</v>
      </c>
      <c r="H40" s="275">
        <f t="shared" si="1"/>
        <v>-0.13779857108822688</v>
      </c>
    </row>
    <row r="41" spans="1:9" s="113" customFormat="1" ht="18" customHeight="1" thickBot="1">
      <c r="B41" s="65" t="s">
        <v>188</v>
      </c>
      <c r="C41" s="56">
        <v>21</v>
      </c>
      <c r="D41" s="258">
        <f>[2]Pasivo!D12</f>
        <v>17047560</v>
      </c>
      <c r="E41" s="258">
        <f>[2]Pasivo!E12</f>
        <v>17372024</v>
      </c>
      <c r="F41" s="114"/>
      <c r="G41" s="254">
        <f t="shared" si="5"/>
        <v>-324464</v>
      </c>
      <c r="H41" s="275">
        <f t="shared" si="1"/>
        <v>-1.8677386123804571E-2</v>
      </c>
      <c r="I41" s="113" t="s">
        <v>287</v>
      </c>
    </row>
    <row r="42" spans="1:9" s="114" customFormat="1" ht="42" thickBot="1">
      <c r="A42" s="113"/>
      <c r="B42" s="60" t="s">
        <v>218</v>
      </c>
      <c r="C42" s="377"/>
      <c r="D42" s="260">
        <f>[2]Pasivo!D13</f>
        <v>259732394</v>
      </c>
      <c r="E42" s="261">
        <f>[2]Pasivo!E13</f>
        <v>351513489</v>
      </c>
      <c r="G42" s="276">
        <f t="shared" si="5"/>
        <v>-91781095</v>
      </c>
      <c r="H42" s="277">
        <f t="shared" si="1"/>
        <v>-0.2611026258511519</v>
      </c>
    </row>
    <row r="43" spans="1:9" s="113" customFormat="1" ht="21.75" customHeight="1" thickBot="1">
      <c r="B43" s="65" t="s">
        <v>260</v>
      </c>
      <c r="C43" s="59"/>
      <c r="D43" s="258">
        <f>[2]Pasivo!D14</f>
        <v>0</v>
      </c>
      <c r="E43" s="258">
        <f>[2]Pasivo!E14</f>
        <v>0</v>
      </c>
      <c r="F43" s="114"/>
      <c r="G43" s="254">
        <f t="shared" ref="G43" si="8">ROUND(+(D43-E43),0)</f>
        <v>0</v>
      </c>
      <c r="H43" s="275">
        <f t="shared" ref="H43" si="9">IFERROR(G43/E43,1)</f>
        <v>1</v>
      </c>
    </row>
    <row r="44" spans="1:9" s="114" customFormat="1" ht="21" customHeight="1" thickBot="1">
      <c r="A44" s="113"/>
      <c r="B44" s="376" t="s">
        <v>107</v>
      </c>
      <c r="C44" s="389"/>
      <c r="D44" s="260">
        <f>[2]Pasivo!D15</f>
        <v>259732394</v>
      </c>
      <c r="E44" s="261">
        <f>[2]Pasivo!E15</f>
        <v>351513489</v>
      </c>
      <c r="G44" s="276">
        <f>ROUND(+(D44-E44),0)</f>
        <v>-91781095</v>
      </c>
      <c r="H44" s="277">
        <f t="shared" si="1"/>
        <v>-0.2611026258511519</v>
      </c>
    </row>
    <row r="45" spans="1:9" s="113" customFormat="1" ht="21" customHeight="1">
      <c r="B45" s="384" t="s">
        <v>108</v>
      </c>
      <c r="C45" s="388"/>
      <c r="D45" s="258">
        <f>[2]Pasivo!D16</f>
        <v>0</v>
      </c>
      <c r="E45" s="259">
        <f>[2]Pasivo!E16</f>
        <v>0</v>
      </c>
      <c r="F45" s="114"/>
      <c r="G45" s="254"/>
      <c r="H45" s="275"/>
    </row>
    <row r="46" spans="1:9" s="113" customFormat="1" ht="18" customHeight="1">
      <c r="B46" s="65" t="s">
        <v>291</v>
      </c>
      <c r="C46" s="56">
        <v>17</v>
      </c>
      <c r="D46" s="258">
        <f>[2]Pasivo!D17</f>
        <v>1374628228</v>
      </c>
      <c r="E46" s="258">
        <f>[2]Pasivo!E17</f>
        <v>1205884299</v>
      </c>
      <c r="F46" s="114"/>
      <c r="G46" s="254">
        <f t="shared" ref="G46:G54" si="10">ROUND(+(D46-E46),0)</f>
        <v>168743929</v>
      </c>
      <c r="H46" s="275">
        <f t="shared" si="1"/>
        <v>0.13993376407664795</v>
      </c>
      <c r="I46" s="113" t="s">
        <v>288</v>
      </c>
    </row>
    <row r="47" spans="1:9" s="113" customFormat="1" ht="18" customHeight="1">
      <c r="B47" s="65" t="s">
        <v>229</v>
      </c>
      <c r="C47" s="56">
        <v>15</v>
      </c>
      <c r="D47" s="258">
        <f>[2]Pasivo!D18</f>
        <v>3830360</v>
      </c>
      <c r="E47" s="258">
        <f>[2]Pasivo!E18</f>
        <v>2578760</v>
      </c>
      <c r="F47" s="114"/>
      <c r="G47" s="254">
        <f t="shared" ref="G47" si="11">ROUND(+(D47-E47),0)</f>
        <v>1251600</v>
      </c>
      <c r="H47" s="275">
        <f t="shared" ref="H47" si="12">IFERROR(G47/E47,1)</f>
        <v>0.48534954784470058</v>
      </c>
    </row>
    <row r="48" spans="1:9" s="113" customFormat="1" ht="18" customHeight="1">
      <c r="B48" s="65" t="s">
        <v>111</v>
      </c>
      <c r="C48" s="56">
        <v>18</v>
      </c>
      <c r="D48" s="258">
        <f>[2]Pasivo!D19</f>
        <v>1364031</v>
      </c>
      <c r="E48" s="258">
        <f>[2]Pasivo!E19</f>
        <v>1362795</v>
      </c>
      <c r="F48" s="114"/>
      <c r="G48" s="254">
        <f t="shared" si="10"/>
        <v>1236</v>
      </c>
      <c r="H48" s="275">
        <f t="shared" si="1"/>
        <v>9.0695959406954089E-4</v>
      </c>
    </row>
    <row r="49" spans="1:8" s="113" customFormat="1" ht="18" customHeight="1">
      <c r="B49" s="65" t="s">
        <v>105</v>
      </c>
      <c r="C49" s="56"/>
      <c r="D49" s="258">
        <f>[2]Pasivo!D20</f>
        <v>0</v>
      </c>
      <c r="E49" s="258">
        <f>[2]Pasivo!E20</f>
        <v>0</v>
      </c>
      <c r="F49" s="114"/>
      <c r="G49" s="254">
        <f t="shared" ref="G49" si="13">ROUND(+(D49-E49),0)</f>
        <v>0</v>
      </c>
      <c r="H49" s="275">
        <f t="shared" ref="H49" si="14">IFERROR(G49/E49,1)</f>
        <v>1</v>
      </c>
    </row>
    <row r="50" spans="1:8" s="113" customFormat="1" ht="18" customHeight="1">
      <c r="B50" s="65" t="s">
        <v>109</v>
      </c>
      <c r="C50" s="56">
        <v>19</v>
      </c>
      <c r="D50" s="258">
        <f>[2]Pasivo!D21</f>
        <v>1964323</v>
      </c>
      <c r="E50" s="258">
        <f>[2]Pasivo!E21</f>
        <v>1908445</v>
      </c>
      <c r="F50" s="114"/>
      <c r="G50" s="254">
        <f t="shared" si="10"/>
        <v>55878</v>
      </c>
      <c r="H50" s="275">
        <f t="shared" si="1"/>
        <v>2.9279334746351086E-2</v>
      </c>
    </row>
    <row r="51" spans="1:8" s="113" customFormat="1" ht="18" customHeight="1">
      <c r="B51" s="65" t="s">
        <v>110</v>
      </c>
      <c r="C51" s="56">
        <v>16</v>
      </c>
      <c r="D51" s="258">
        <f>[2]Pasivo!D22</f>
        <v>140630628</v>
      </c>
      <c r="E51" s="258">
        <f>[2]Pasivo!E22</f>
        <v>130710566</v>
      </c>
      <c r="F51" s="114"/>
      <c r="G51" s="254">
        <f t="shared" si="10"/>
        <v>9920062</v>
      </c>
      <c r="H51" s="275">
        <f t="shared" si="1"/>
        <v>7.5893344383498429E-2</v>
      </c>
    </row>
    <row r="52" spans="1:8" s="113" customFormat="1" ht="18" customHeight="1">
      <c r="B52" s="65" t="s">
        <v>261</v>
      </c>
      <c r="C52" s="56">
        <v>20</v>
      </c>
      <c r="D52" s="258">
        <f>[2]Pasivo!D23</f>
        <v>25306456</v>
      </c>
      <c r="E52" s="258">
        <f>[2]Pasivo!E23</f>
        <v>24484390</v>
      </c>
      <c r="F52" s="114"/>
      <c r="G52" s="254">
        <f t="shared" si="10"/>
        <v>822066</v>
      </c>
      <c r="H52" s="275">
        <f t="shared" si="1"/>
        <v>3.3575106424950756E-2</v>
      </c>
    </row>
    <row r="53" spans="1:8" s="113" customFormat="1" ht="18" customHeight="1" thickBot="1">
      <c r="B53" s="65" t="s">
        <v>188</v>
      </c>
      <c r="C53" s="56">
        <v>21</v>
      </c>
      <c r="D53" s="258">
        <f>[2]Pasivo!D24</f>
        <v>7727754</v>
      </c>
      <c r="E53" s="258">
        <f>[2]Pasivo!E24</f>
        <v>7601123</v>
      </c>
      <c r="F53" s="114"/>
      <c r="G53" s="254">
        <f t="shared" si="10"/>
        <v>126631</v>
      </c>
      <c r="H53" s="275">
        <f t="shared" si="1"/>
        <v>1.6659512022105156E-2</v>
      </c>
    </row>
    <row r="54" spans="1:8" s="113" customFormat="1" ht="21" customHeight="1" thickBot="1">
      <c r="B54" s="376" t="s">
        <v>196</v>
      </c>
      <c r="C54" s="389"/>
      <c r="D54" s="260">
        <f>[2]Pasivo!D25</f>
        <v>1555451780</v>
      </c>
      <c r="E54" s="261">
        <f>[2]Pasivo!E25</f>
        <v>1374530378</v>
      </c>
      <c r="F54" s="114"/>
      <c r="G54" s="276">
        <f t="shared" si="10"/>
        <v>180921402</v>
      </c>
      <c r="H54" s="277">
        <f t="shared" si="1"/>
        <v>0.13162415679982883</v>
      </c>
    </row>
    <row r="55" spans="1:8" s="113" customFormat="1" ht="4.5" customHeight="1" thickBot="1">
      <c r="B55" s="65"/>
      <c r="C55" s="59"/>
      <c r="D55" s="258">
        <f>[2]Pasivo!D26</f>
        <v>0</v>
      </c>
      <c r="E55" s="259">
        <f>[2]Pasivo!E26</f>
        <v>0</v>
      </c>
      <c r="F55" s="114"/>
      <c r="G55" s="254"/>
      <c r="H55" s="275"/>
    </row>
    <row r="56" spans="1:8" s="113" customFormat="1" ht="21" customHeight="1" thickBot="1">
      <c r="B56" s="376" t="s">
        <v>112</v>
      </c>
      <c r="C56" s="389"/>
      <c r="D56" s="260">
        <f>[2]Pasivo!D27</f>
        <v>1815184174</v>
      </c>
      <c r="E56" s="261">
        <f>[2]Pasivo!E27</f>
        <v>1726043867</v>
      </c>
      <c r="F56" s="114"/>
      <c r="G56" s="276">
        <f>ROUND(+(D56-E56),0)</f>
        <v>89140307</v>
      </c>
      <c r="H56" s="277">
        <f t="shared" ref="H56:H67" si="15">IFERROR(G56/E56,100)</f>
        <v>5.1644288250293928E-2</v>
      </c>
    </row>
    <row r="57" spans="1:8" s="113" customFormat="1" ht="21" customHeight="1">
      <c r="B57" s="384" t="s">
        <v>197</v>
      </c>
      <c r="C57" s="64"/>
      <c r="D57" s="268">
        <f>[2]Pasivo!D28</f>
        <v>0</v>
      </c>
      <c r="E57" s="269">
        <f>[2]Pasivo!E28</f>
        <v>0</v>
      </c>
      <c r="F57" s="114"/>
      <c r="G57" s="254"/>
      <c r="H57" s="275"/>
    </row>
    <row r="58" spans="1:8" s="113" customFormat="1" ht="18" customHeight="1">
      <c r="B58" s="65" t="s">
        <v>292</v>
      </c>
      <c r="C58" s="56">
        <v>22</v>
      </c>
      <c r="D58" s="258">
        <f>[2]Pasivo!D29</f>
        <v>155567354</v>
      </c>
      <c r="E58" s="258">
        <f>[2]Pasivo!E29</f>
        <v>155567354</v>
      </c>
      <c r="F58" s="114"/>
      <c r="G58" s="254">
        <f t="shared" ref="G58:G65" si="16">ROUND(+(D58-E58),0)</f>
        <v>0</v>
      </c>
      <c r="H58" s="275">
        <f t="shared" si="15"/>
        <v>0</v>
      </c>
    </row>
    <row r="59" spans="1:8" s="113" customFormat="1" ht="18" customHeight="1">
      <c r="B59" s="65" t="s">
        <v>262</v>
      </c>
      <c r="C59" s="56">
        <v>22</v>
      </c>
      <c r="D59" s="258">
        <f>[2]Pasivo!D30</f>
        <v>455838777</v>
      </c>
      <c r="E59" s="258">
        <f>[2]Pasivo!E30</f>
        <v>407021368</v>
      </c>
      <c r="F59" s="114"/>
      <c r="G59" s="254">
        <f t="shared" si="16"/>
        <v>48817409</v>
      </c>
      <c r="H59" s="275">
        <f t="shared" si="15"/>
        <v>0.11993819695480951</v>
      </c>
    </row>
    <row r="60" spans="1:8" s="113" customFormat="1" ht="18" customHeight="1">
      <c r="B60" s="390" t="s">
        <v>293</v>
      </c>
      <c r="C60" s="56">
        <v>22</v>
      </c>
      <c r="D60" s="258">
        <f>[2]Pasivo!D31</f>
        <v>164064038</v>
      </c>
      <c r="E60" s="258">
        <f>[2]Pasivo!E31</f>
        <v>164064038</v>
      </c>
      <c r="F60" s="114"/>
      <c r="G60" s="254">
        <f t="shared" si="16"/>
        <v>0</v>
      </c>
      <c r="H60" s="275">
        <f t="shared" si="15"/>
        <v>0</v>
      </c>
    </row>
    <row r="61" spans="1:8" s="114" customFormat="1" ht="18" customHeight="1">
      <c r="A61" s="113"/>
      <c r="B61" s="65" t="s">
        <v>113</v>
      </c>
      <c r="C61" s="56">
        <v>22</v>
      </c>
      <c r="D61" s="258">
        <f>[2]Pasivo!D32</f>
        <v>-5965550</v>
      </c>
      <c r="E61" s="258">
        <f>[2]Pasivo!E32</f>
        <v>-5965550</v>
      </c>
      <c r="G61" s="254">
        <f t="shared" si="16"/>
        <v>0</v>
      </c>
      <c r="H61" s="275">
        <f t="shared" si="15"/>
        <v>0</v>
      </c>
    </row>
    <row r="62" spans="1:8" s="114" customFormat="1" ht="18" customHeight="1" thickBot="1">
      <c r="A62" s="113"/>
      <c r="B62" s="65" t="s">
        <v>239</v>
      </c>
      <c r="C62" s="56">
        <v>22</v>
      </c>
      <c r="D62" s="258">
        <f>[2]Pasivo!D33</f>
        <v>566574838</v>
      </c>
      <c r="E62" s="258">
        <f>[2]Pasivo!E33</f>
        <v>571379740</v>
      </c>
      <c r="G62" s="254">
        <f t="shared" si="16"/>
        <v>-4804902</v>
      </c>
      <c r="H62" s="275"/>
    </row>
    <row r="63" spans="1:8" s="114" customFormat="1" ht="21.75" customHeight="1" thickBot="1">
      <c r="A63" s="113"/>
      <c r="B63" s="391" t="s">
        <v>81</v>
      </c>
      <c r="C63" s="56"/>
      <c r="D63" s="264">
        <f>[2]Pasivo!D34</f>
        <v>1336079457</v>
      </c>
      <c r="E63" s="265">
        <f>[2]Pasivo!E34</f>
        <v>1292066950</v>
      </c>
      <c r="G63" s="276">
        <f>ROUND(+(D63-E63),0)</f>
        <v>44012507</v>
      </c>
      <c r="H63" s="277">
        <f t="shared" si="15"/>
        <v>3.406364275473496E-2</v>
      </c>
    </row>
    <row r="64" spans="1:8" s="114" customFormat="1" ht="21.75" customHeight="1" thickBot="1">
      <c r="A64" s="113"/>
      <c r="B64" s="65" t="s">
        <v>82</v>
      </c>
      <c r="C64" s="56">
        <v>23</v>
      </c>
      <c r="D64" s="258">
        <f>[2]Pasivo!D35</f>
        <v>49999</v>
      </c>
      <c r="E64" s="258">
        <f>[2]Pasivo!E35</f>
        <v>48518</v>
      </c>
      <c r="G64" s="254">
        <f t="shared" si="16"/>
        <v>1481</v>
      </c>
      <c r="H64" s="275">
        <f t="shared" si="15"/>
        <v>3.0524753699657858E-2</v>
      </c>
    </row>
    <row r="65" spans="1:8" s="114" customFormat="1" ht="18" customHeight="1" thickBot="1">
      <c r="A65" s="113"/>
      <c r="B65" s="376" t="s">
        <v>198</v>
      </c>
      <c r="C65" s="66"/>
      <c r="D65" s="260">
        <f>[2]Pasivo!D36</f>
        <v>1336129456</v>
      </c>
      <c r="E65" s="261">
        <f>[2]Pasivo!E36</f>
        <v>1292115468</v>
      </c>
      <c r="G65" s="276">
        <f t="shared" si="16"/>
        <v>44013988</v>
      </c>
      <c r="H65" s="277">
        <f t="shared" si="15"/>
        <v>3.4063509872014008E-2</v>
      </c>
    </row>
    <row r="66" spans="1:8" s="113" customFormat="1" ht="11.25" customHeight="1" thickBot="1">
      <c r="B66" s="65"/>
      <c r="C66" s="59"/>
      <c r="D66" s="258">
        <f>[2]Pasivo!D37</f>
        <v>0</v>
      </c>
      <c r="E66" s="259">
        <f>[2]Pasivo!E37</f>
        <v>0</v>
      </c>
      <c r="F66" s="114"/>
      <c r="G66" s="254"/>
      <c r="H66" s="275"/>
    </row>
    <row r="67" spans="1:8" s="114" customFormat="1" ht="20.25" customHeight="1" thickBot="1">
      <c r="A67" s="113"/>
      <c r="B67" s="386" t="s">
        <v>199</v>
      </c>
      <c r="C67" s="392"/>
      <c r="D67" s="266">
        <f>[2]Pasivo!D38</f>
        <v>3151313630</v>
      </c>
      <c r="E67" s="267">
        <f>[2]Pasivo!E38</f>
        <v>3018159335</v>
      </c>
      <c r="G67" s="276">
        <f>ROUND(+(D67-E67),0)</f>
        <v>133154295</v>
      </c>
      <c r="H67" s="277">
        <f t="shared" si="15"/>
        <v>4.4117715541349974E-2</v>
      </c>
    </row>
    <row r="69" spans="1:8" ht="15" customHeight="1">
      <c r="B69" s="393" t="s">
        <v>223</v>
      </c>
      <c r="C69" s="393"/>
      <c r="D69" s="394">
        <f>+D67-D28</f>
        <v>0</v>
      </c>
      <c r="E69" s="394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B050"/>
    <pageSetUpPr fitToPage="1"/>
  </sheetPr>
  <dimension ref="B1:L72"/>
  <sheetViews>
    <sheetView showGridLines="0" topLeftCell="A65" zoomScale="90" zoomScaleNormal="90" workbookViewId="0">
      <selection activeCell="E2" sqref="E2"/>
    </sheetView>
  </sheetViews>
  <sheetFormatPr baseColWidth="10" defaultColWidth="11.44140625" defaultRowHeight="13.8"/>
  <cols>
    <col min="1" max="1" width="6.44140625" style="93" customWidth="1"/>
    <col min="2" max="2" width="71.5546875" style="93" customWidth="1"/>
    <col min="3" max="3" width="5.5546875" style="93" customWidth="1"/>
    <col min="4" max="4" width="14.5546875" style="93" bestFit="1" customWidth="1"/>
    <col min="5" max="5" width="14.44140625" style="93" bestFit="1" customWidth="1"/>
    <col min="6" max="6" width="4.5546875" style="93" customWidth="1"/>
    <col min="7" max="7" width="12" style="270" bestFit="1" customWidth="1"/>
    <col min="8" max="8" width="11.44140625" style="272"/>
    <col min="9" max="9" width="11.44140625" style="93"/>
    <col min="10" max="10" width="13.5546875" style="93" customWidth="1"/>
    <col min="11" max="11" width="12.44140625" style="93" bestFit="1" customWidth="1"/>
    <col min="12" max="16384" width="11.44140625" style="93"/>
  </cols>
  <sheetData>
    <row r="1" spans="2:12" ht="14.4" thickBot="1"/>
    <row r="2" spans="2:12" s="94" customFormat="1" ht="12" customHeight="1">
      <c r="B2" s="467" t="s">
        <v>177</v>
      </c>
      <c r="C2" s="469" t="s">
        <v>92</v>
      </c>
      <c r="D2" s="247">
        <f>+[2]Flujo!$D$3</f>
        <v>45930</v>
      </c>
      <c r="E2" s="247">
        <f>+[2]Flujo!$E$3</f>
        <v>45565</v>
      </c>
      <c r="G2" s="460" t="s">
        <v>189</v>
      </c>
      <c r="H2" s="461"/>
    </row>
    <row r="3" spans="2:12" s="94" customFormat="1" ht="12" customHeight="1">
      <c r="B3" s="468"/>
      <c r="C3" s="470"/>
      <c r="D3" s="95" t="s">
        <v>4</v>
      </c>
      <c r="E3" s="96" t="s">
        <v>4</v>
      </c>
      <c r="G3" s="282" t="s">
        <v>4</v>
      </c>
      <c r="H3" s="283" t="s">
        <v>60</v>
      </c>
    </row>
    <row r="4" spans="2:12" s="99" customFormat="1" ht="21" customHeight="1">
      <c r="B4" s="89" t="s">
        <v>117</v>
      </c>
      <c r="C4" s="90"/>
      <c r="D4" s="291">
        <f>+VLOOKUP(B4,[2]Flujo!$B:$E,3,0)</f>
        <v>622562799</v>
      </c>
      <c r="E4" s="291">
        <f>+VLOOKUP(B4,[2]Flujo!$B:$E,4,0)</f>
        <v>579308070</v>
      </c>
      <c r="F4" s="98"/>
      <c r="G4" s="254">
        <f>ROUND(+(D4-E4),0)</f>
        <v>43254729</v>
      </c>
      <c r="H4" s="284">
        <f>+IFERROR(G4/E4,1)</f>
        <v>7.4666194448145692E-2</v>
      </c>
      <c r="J4" s="99" t="s">
        <v>117</v>
      </c>
      <c r="K4" s="248"/>
      <c r="L4" s="248"/>
    </row>
    <row r="5" spans="2:12" s="99" customFormat="1" ht="21" customHeight="1">
      <c r="B5" s="89" t="s">
        <v>119</v>
      </c>
      <c r="C5" s="90"/>
      <c r="D5" s="291">
        <f>+VLOOKUP(B5,[2]Flujo!$B:$E,3,0)</f>
        <v>0</v>
      </c>
      <c r="E5" s="291">
        <f>+VLOOKUP(B5,[2]Flujo!$B:$E,4,0)</f>
        <v>0</v>
      </c>
      <c r="F5" s="98"/>
      <c r="G5" s="254">
        <f t="shared" ref="G5:G61" si="0">ROUND(+(D5-E5),0)</f>
        <v>0</v>
      </c>
      <c r="H5" s="284"/>
      <c r="J5" s="99" t="s">
        <v>119</v>
      </c>
    </row>
    <row r="6" spans="2:12" s="99" customFormat="1" ht="21" customHeight="1">
      <c r="B6" s="89" t="s">
        <v>118</v>
      </c>
      <c r="C6" s="90"/>
      <c r="D6" s="291">
        <f>+VLOOKUP(B6,[2]Flujo!$B:$E,3,0)</f>
        <v>0</v>
      </c>
      <c r="E6" s="291">
        <f>+VLOOKUP(B6,[2]Flujo!$B:$E,4,0)</f>
        <v>0</v>
      </c>
      <c r="F6" s="98"/>
      <c r="G6" s="254">
        <f t="shared" si="0"/>
        <v>0</v>
      </c>
      <c r="H6" s="284"/>
      <c r="J6" s="99" t="s">
        <v>118</v>
      </c>
    </row>
    <row r="7" spans="2:12" s="99" customFormat="1" ht="21" customHeight="1">
      <c r="B7" s="89" t="s">
        <v>120</v>
      </c>
      <c r="C7" s="90"/>
      <c r="D7" s="291">
        <f>+VLOOKUP(B7,[2]Flujo!$B:$E,3,0)</f>
        <v>0</v>
      </c>
      <c r="E7" s="291">
        <f>+VLOOKUP(B7,[2]Flujo!$B:$E,4,0)</f>
        <v>0</v>
      </c>
      <c r="F7" s="98"/>
      <c r="G7" s="254">
        <f t="shared" si="0"/>
        <v>0</v>
      </c>
      <c r="H7" s="284">
        <f t="shared" ref="H7:H63" si="1">+IFERROR(G7/E7,1)</f>
        <v>1</v>
      </c>
      <c r="J7" s="99" t="s">
        <v>120</v>
      </c>
      <c r="K7" s="248"/>
      <c r="L7" s="248"/>
    </row>
    <row r="8" spans="2:12" s="99" customFormat="1" ht="21" customHeight="1">
      <c r="B8" s="89" t="s">
        <v>121</v>
      </c>
      <c r="C8" s="90"/>
      <c r="D8" s="291">
        <f>+VLOOKUP(B8,[2]Flujo!$B:$E,3,0)</f>
        <v>1512174</v>
      </c>
      <c r="E8" s="291">
        <f>+VLOOKUP(B8,[2]Flujo!$B:$E,4,0)</f>
        <v>4132331</v>
      </c>
      <c r="F8" s="98"/>
      <c r="G8" s="254">
        <f t="shared" si="0"/>
        <v>-2620157</v>
      </c>
      <c r="H8" s="284">
        <f t="shared" si="1"/>
        <v>-0.63406271182051965</v>
      </c>
      <c r="J8" s="99" t="s">
        <v>121</v>
      </c>
      <c r="K8" s="248"/>
      <c r="L8" s="248"/>
    </row>
    <row r="9" spans="2:12" s="99" customFormat="1" ht="21" customHeight="1">
      <c r="B9" s="91" t="s">
        <v>294</v>
      </c>
      <c r="C9" s="90"/>
      <c r="D9" s="291">
        <f>+VLOOKUP(B9,[2]Flujo!$B:$E,3,0)</f>
        <v>624074973</v>
      </c>
      <c r="E9" s="291">
        <f>+VLOOKUP(B9,[2]Flujo!$B:$E,4,0)</f>
        <v>583440401</v>
      </c>
      <c r="F9" s="98"/>
      <c r="G9" s="255">
        <f t="shared" si="0"/>
        <v>40634572</v>
      </c>
      <c r="H9" s="286">
        <f t="shared" si="1"/>
        <v>6.9646483051831035E-2</v>
      </c>
      <c r="J9" s="99" t="s">
        <v>294</v>
      </c>
      <c r="K9" s="248"/>
      <c r="L9" s="248"/>
    </row>
    <row r="10" spans="2:12" s="99" customFormat="1" ht="21" customHeight="1">
      <c r="B10" s="89" t="s">
        <v>122</v>
      </c>
      <c r="C10" s="90"/>
      <c r="D10" s="291">
        <f>+VLOOKUP(B10,[2]Flujo!$B:$E,3,0)</f>
        <v>-233792382</v>
      </c>
      <c r="E10" s="291">
        <f>+VLOOKUP(B10,[2]Flujo!$B:$E,4,0)</f>
        <v>-214910780</v>
      </c>
      <c r="F10" s="98"/>
      <c r="G10" s="333">
        <f t="shared" si="0"/>
        <v>-18881602</v>
      </c>
      <c r="H10" s="284">
        <f t="shared" si="1"/>
        <v>8.7857863621359528E-2</v>
      </c>
      <c r="J10" s="99" t="s">
        <v>122</v>
      </c>
      <c r="K10" s="248"/>
      <c r="L10" s="248"/>
    </row>
    <row r="11" spans="2:12" s="99" customFormat="1" ht="21" customHeight="1">
      <c r="B11" s="89" t="s">
        <v>123</v>
      </c>
      <c r="C11" s="90"/>
      <c r="D11" s="291">
        <f>+VLOOKUP(B11,[2]Flujo!$B:$E,3,0)</f>
        <v>0</v>
      </c>
      <c r="E11" s="291">
        <f>+VLOOKUP(B11,[2]Flujo!$B:$E,4,0)</f>
        <v>0</v>
      </c>
      <c r="F11" s="98"/>
      <c r="G11" s="254">
        <f t="shared" si="0"/>
        <v>0</v>
      </c>
      <c r="H11" s="284">
        <f t="shared" si="1"/>
        <v>1</v>
      </c>
      <c r="J11" s="99" t="s">
        <v>123</v>
      </c>
      <c r="K11" s="248"/>
      <c r="L11" s="248"/>
    </row>
    <row r="12" spans="2:12" s="99" customFormat="1" ht="21" customHeight="1">
      <c r="B12" s="89" t="s">
        <v>124</v>
      </c>
      <c r="C12" s="92"/>
      <c r="D12" s="291">
        <f>+VLOOKUP(B12,[2]Flujo!$B:$E,3,0)</f>
        <v>-64002668</v>
      </c>
      <c r="E12" s="291">
        <f>+VLOOKUP(B12,[2]Flujo!$B:$E,4,0)</f>
        <v>-57137975</v>
      </c>
      <c r="F12" s="98"/>
      <c r="G12" s="254">
        <f t="shared" si="0"/>
        <v>-6864693</v>
      </c>
      <c r="H12" s="284">
        <f t="shared" si="1"/>
        <v>0.12014239216563065</v>
      </c>
      <c r="J12" s="99" t="s">
        <v>124</v>
      </c>
      <c r="K12" s="248"/>
      <c r="L12" s="248"/>
    </row>
    <row r="13" spans="2:12" s="99" customFormat="1" ht="21" customHeight="1">
      <c r="B13" s="89" t="s">
        <v>125</v>
      </c>
      <c r="C13" s="90"/>
      <c r="D13" s="291">
        <f>+VLOOKUP(B13,[2]Flujo!$B:$E,3,0)</f>
        <v>0</v>
      </c>
      <c r="E13" s="291">
        <f>+VLOOKUP(B13,[2]Flujo!$B:$E,4,0)</f>
        <v>0</v>
      </c>
      <c r="F13" s="98"/>
      <c r="G13" s="333">
        <f>ROUND(+(D13-E13),0)</f>
        <v>0</v>
      </c>
      <c r="H13" s="284">
        <f t="shared" si="1"/>
        <v>1</v>
      </c>
      <c r="J13" s="99" t="s">
        <v>125</v>
      </c>
      <c r="K13" s="248"/>
      <c r="L13" s="248"/>
    </row>
    <row r="14" spans="2:12" s="99" customFormat="1" ht="21" customHeight="1">
      <c r="B14" s="89" t="s">
        <v>126</v>
      </c>
      <c r="C14" s="90"/>
      <c r="D14" s="291">
        <f>+VLOOKUP(B14,[2]Flujo!$B:$E,3,0)</f>
        <v>-52434997</v>
      </c>
      <c r="E14" s="291">
        <f>+VLOOKUP(B14,[2]Flujo!$B:$E,4,0)</f>
        <v>-45239341</v>
      </c>
      <c r="F14" s="98"/>
      <c r="G14" s="254">
        <f t="shared" si="0"/>
        <v>-7195656</v>
      </c>
      <c r="H14" s="284">
        <f t="shared" si="1"/>
        <v>0.15905748936528497</v>
      </c>
      <c r="I14" s="99" t="s">
        <v>242</v>
      </c>
      <c r="J14" s="99" t="s">
        <v>126</v>
      </c>
      <c r="K14" s="248"/>
      <c r="L14" s="248"/>
    </row>
    <row r="15" spans="2:12" s="99" customFormat="1" ht="21" customHeight="1">
      <c r="B15" s="91" t="s">
        <v>178</v>
      </c>
      <c r="C15" s="90"/>
      <c r="D15" s="291">
        <f>+VLOOKUP(B15,[2]Flujo!$B:$E,3,0)</f>
        <v>-350230047</v>
      </c>
      <c r="E15" s="291">
        <f>+VLOOKUP(B15,[2]Flujo!$B:$E,4,0)</f>
        <v>-317288096</v>
      </c>
      <c r="F15" s="98"/>
      <c r="G15" s="255">
        <f t="shared" si="0"/>
        <v>-32941951</v>
      </c>
      <c r="H15" s="286">
        <f t="shared" si="1"/>
        <v>0.10382346963309963</v>
      </c>
      <c r="J15" s="99" t="s">
        <v>178</v>
      </c>
      <c r="K15" s="248"/>
      <c r="L15" s="248"/>
    </row>
    <row r="16" spans="2:12" s="99" customFormat="1" ht="21" customHeight="1">
      <c r="B16" s="89" t="s">
        <v>127</v>
      </c>
      <c r="C16" s="90"/>
      <c r="D16" s="291">
        <f>+VLOOKUP(B16,[2]Flujo!$B:$E,3,0)</f>
        <v>0</v>
      </c>
      <c r="E16" s="291">
        <f>+VLOOKUP(B16,[2]Flujo!$B:$E,4,0)</f>
        <v>0</v>
      </c>
      <c r="F16" s="98"/>
      <c r="G16" s="254"/>
      <c r="H16" s="284">
        <f t="shared" si="1"/>
        <v>1</v>
      </c>
      <c r="J16" s="99" t="s">
        <v>127</v>
      </c>
      <c r="K16" s="248"/>
      <c r="L16" s="248"/>
    </row>
    <row r="17" spans="2:12" s="99" customFormat="1" ht="21" customHeight="1">
      <c r="B17" s="89" t="s">
        <v>128</v>
      </c>
      <c r="C17" s="90"/>
      <c r="D17" s="291">
        <f>+VLOOKUP(B17,[2]Flujo!$B:$E,3,0)</f>
        <v>0</v>
      </c>
      <c r="E17" s="291">
        <f>+VLOOKUP(B17,[2]Flujo!$B:$E,4,0)</f>
        <v>0</v>
      </c>
      <c r="F17" s="98"/>
      <c r="G17" s="254"/>
      <c r="H17" s="284">
        <f t="shared" si="1"/>
        <v>1</v>
      </c>
      <c r="J17" s="99" t="s">
        <v>128</v>
      </c>
      <c r="K17" s="248"/>
      <c r="L17" s="248"/>
    </row>
    <row r="18" spans="2:12" s="99" customFormat="1" ht="21" customHeight="1">
      <c r="B18" s="89" t="s">
        <v>129</v>
      </c>
      <c r="C18" s="90"/>
      <c r="D18" s="291">
        <f>+VLOOKUP(B18,[2]Flujo!$B:$E,3,0)</f>
        <v>0</v>
      </c>
      <c r="E18" s="291">
        <f>+VLOOKUP(B18,[2]Flujo!$B:$E,4,0)</f>
        <v>0</v>
      </c>
      <c r="F18" s="98"/>
      <c r="G18" s="333">
        <f t="shared" si="0"/>
        <v>0</v>
      </c>
      <c r="H18" s="284">
        <f t="shared" si="1"/>
        <v>1</v>
      </c>
      <c r="J18" s="99" t="s">
        <v>129</v>
      </c>
      <c r="K18" s="248"/>
      <c r="L18" s="248"/>
    </row>
    <row r="19" spans="2:12" s="99" customFormat="1" ht="21" customHeight="1">
      <c r="B19" s="89" t="s">
        <v>130</v>
      </c>
      <c r="C19" s="90"/>
      <c r="D19" s="291">
        <f>+VLOOKUP(B19,[2]Flujo!$B:$E,3,0)</f>
        <v>0</v>
      </c>
      <c r="E19" s="291">
        <f>+VLOOKUP(B19,[2]Flujo!$B:$E,4,0)</f>
        <v>0</v>
      </c>
      <c r="F19" s="98"/>
      <c r="G19" s="254">
        <f t="shared" si="0"/>
        <v>0</v>
      </c>
      <c r="H19" s="284">
        <f t="shared" si="1"/>
        <v>1</v>
      </c>
      <c r="I19" s="99" t="s">
        <v>246</v>
      </c>
      <c r="J19" s="99" t="s">
        <v>130</v>
      </c>
      <c r="K19" s="248"/>
      <c r="L19" s="248"/>
    </row>
    <row r="20" spans="2:12" s="99" customFormat="1" ht="21" customHeight="1">
      <c r="B20" s="89" t="s">
        <v>265</v>
      </c>
      <c r="C20" s="90"/>
      <c r="D20" s="291">
        <f>+VLOOKUP(B20,[2]Flujo!$B:$E,3,0)</f>
        <v>7760783</v>
      </c>
      <c r="E20" s="291">
        <f>+VLOOKUP(B20,[2]Flujo!$B:$E,4,0)</f>
        <v>-22640129</v>
      </c>
      <c r="F20" s="98"/>
      <c r="G20" s="333">
        <f t="shared" si="0"/>
        <v>30400912</v>
      </c>
      <c r="H20" s="284">
        <f t="shared" si="1"/>
        <v>-1.3427888153817498</v>
      </c>
      <c r="J20" s="99" t="s">
        <v>265</v>
      </c>
      <c r="K20" s="248"/>
      <c r="L20" s="248"/>
    </row>
    <row r="21" spans="2:12" s="99" customFormat="1" ht="21" customHeight="1" thickBot="1">
      <c r="B21" s="89" t="s">
        <v>148</v>
      </c>
      <c r="C21" s="90"/>
      <c r="D21" s="291">
        <f>+VLOOKUP(B21,[2]Flujo!$B:$E,3,0)</f>
        <v>-13150251</v>
      </c>
      <c r="E21" s="291">
        <f>+VLOOKUP(B21,[2]Flujo!$B:$E,4,0)</f>
        <v>-15479773</v>
      </c>
      <c r="F21" s="98"/>
      <c r="G21" s="254">
        <f t="shared" si="0"/>
        <v>2329522</v>
      </c>
      <c r="H21" s="284">
        <f t="shared" si="1"/>
        <v>-0.1504881240829565</v>
      </c>
      <c r="J21" s="99" t="s">
        <v>148</v>
      </c>
      <c r="K21" s="248"/>
      <c r="L21" s="248"/>
    </row>
    <row r="22" spans="2:12" s="99" customFormat="1" ht="21" customHeight="1" thickBot="1">
      <c r="B22" s="101" t="s">
        <v>235</v>
      </c>
      <c r="C22" s="102"/>
      <c r="D22" s="293">
        <f>+D9+D15+SUM(D16:D21)</f>
        <v>268455458</v>
      </c>
      <c r="E22" s="293">
        <f>+E9+E15+SUM(E16:E21)</f>
        <v>228032403</v>
      </c>
      <c r="F22" s="98"/>
      <c r="G22" s="276">
        <f>ROUND(+(D22-E22),0)</f>
        <v>40423055</v>
      </c>
      <c r="H22" s="287">
        <f t="shared" si="1"/>
        <v>0.17726890769992895</v>
      </c>
      <c r="K22" s="248"/>
      <c r="L22" s="248"/>
    </row>
    <row r="23" spans="2:12" s="99" customFormat="1" ht="21" customHeight="1">
      <c r="B23" s="100" t="s">
        <v>131</v>
      </c>
      <c r="C23" s="97"/>
      <c r="D23" s="291">
        <f>+VLOOKUP(B23,[2]Flujo!$B$23:$E$48,3,0)</f>
        <v>0</v>
      </c>
      <c r="E23" s="291">
        <f>+VLOOKUP(B23,[2]Flujo!$B$23:$E$48,4,0)</f>
        <v>0</v>
      </c>
      <c r="F23" s="98"/>
      <c r="G23" s="254">
        <f t="shared" si="0"/>
        <v>0</v>
      </c>
      <c r="H23" s="284">
        <f t="shared" si="1"/>
        <v>1</v>
      </c>
      <c r="K23" s="248"/>
      <c r="L23" s="248"/>
    </row>
    <row r="24" spans="2:12" s="99" customFormat="1" ht="21" customHeight="1">
      <c r="B24" s="100" t="s">
        <v>132</v>
      </c>
      <c r="C24" s="97"/>
      <c r="D24" s="291">
        <f>+VLOOKUP(B24,[2]Flujo!$B$23:$E$48,3,0)</f>
        <v>0</v>
      </c>
      <c r="E24" s="291">
        <f>+VLOOKUP(B24,[2]Flujo!$B$23:$E$48,4,0)</f>
        <v>0</v>
      </c>
      <c r="F24" s="98"/>
      <c r="G24" s="254">
        <f t="shared" si="0"/>
        <v>0</v>
      </c>
      <c r="H24" s="284">
        <f t="shared" si="1"/>
        <v>1</v>
      </c>
      <c r="K24" s="248"/>
      <c r="L24" s="248"/>
    </row>
    <row r="25" spans="2:12" s="99" customFormat="1" ht="21" customHeight="1">
      <c r="B25" s="100" t="s">
        <v>133</v>
      </c>
      <c r="C25" s="97"/>
      <c r="D25" s="291">
        <f>+VLOOKUP(B25,[2]Flujo!$B$23:$E$48,3,0)</f>
        <v>0</v>
      </c>
      <c r="E25" s="291">
        <f>+VLOOKUP(B25,[2]Flujo!$B$23:$E$48,4,0)</f>
        <v>0</v>
      </c>
      <c r="F25" s="98"/>
      <c r="G25" s="254">
        <f t="shared" si="0"/>
        <v>0</v>
      </c>
      <c r="H25" s="284">
        <f t="shared" si="1"/>
        <v>1</v>
      </c>
      <c r="K25" s="248"/>
      <c r="L25" s="248"/>
    </row>
    <row r="26" spans="2:12" s="99" customFormat="1" ht="21" customHeight="1">
      <c r="B26" s="100" t="s">
        <v>134</v>
      </c>
      <c r="C26" s="97"/>
      <c r="D26" s="291">
        <f>+VLOOKUP(B26,[2]Flujo!$B$23:$E$48,3,0)</f>
        <v>0</v>
      </c>
      <c r="E26" s="291">
        <f>+VLOOKUP(B26,[2]Flujo!$B$23:$E$48,4,0)</f>
        <v>0</v>
      </c>
      <c r="F26" s="98"/>
      <c r="G26" s="254">
        <f t="shared" si="0"/>
        <v>0</v>
      </c>
      <c r="H26" s="284">
        <f t="shared" si="1"/>
        <v>1</v>
      </c>
      <c r="K26" s="248"/>
      <c r="L26" s="248"/>
    </row>
    <row r="27" spans="2:12" s="99" customFormat="1" ht="21" customHeight="1">
      <c r="B27" s="100" t="s">
        <v>135</v>
      </c>
      <c r="C27" s="97"/>
      <c r="D27" s="291">
        <f>+VLOOKUP(B27,[2]Flujo!$B$23:$E$48,3,0)</f>
        <v>0</v>
      </c>
      <c r="E27" s="291">
        <f>+VLOOKUP(B27,[2]Flujo!$B$23:$E$48,4,0)</f>
        <v>0</v>
      </c>
      <c r="F27" s="98"/>
      <c r="G27" s="254">
        <f t="shared" si="0"/>
        <v>0</v>
      </c>
      <c r="H27" s="284">
        <f t="shared" si="1"/>
        <v>1</v>
      </c>
      <c r="K27" s="248"/>
      <c r="L27" s="248"/>
    </row>
    <row r="28" spans="2:12" s="99" customFormat="1" ht="21" customHeight="1">
      <c r="B28" s="100" t="s">
        <v>136</v>
      </c>
      <c r="C28" s="97"/>
      <c r="D28" s="291">
        <f>+VLOOKUP(B28,[2]Flujo!$B$23:$E$48,3,0)</f>
        <v>0</v>
      </c>
      <c r="E28" s="291">
        <f>+VLOOKUP(B28,[2]Flujo!$B$23:$E$48,4,0)</f>
        <v>0</v>
      </c>
      <c r="F28" s="98"/>
      <c r="G28" s="254">
        <f t="shared" si="0"/>
        <v>0</v>
      </c>
      <c r="H28" s="284">
        <f t="shared" si="1"/>
        <v>1</v>
      </c>
      <c r="K28" s="248"/>
      <c r="L28" s="248"/>
    </row>
    <row r="29" spans="2:12" s="99" customFormat="1" ht="21" customHeight="1">
      <c r="B29" s="100" t="s">
        <v>137</v>
      </c>
      <c r="C29" s="97"/>
      <c r="D29" s="291">
        <f>+VLOOKUP(B29,[2]Flujo!$B$23:$E$48,3,0)</f>
        <v>0</v>
      </c>
      <c r="E29" s="291">
        <f>+VLOOKUP(B29,[2]Flujo!$B$23:$E$48,4,0)</f>
        <v>0</v>
      </c>
      <c r="F29" s="98"/>
      <c r="G29" s="254">
        <f t="shared" si="0"/>
        <v>0</v>
      </c>
      <c r="H29" s="284">
        <f t="shared" si="1"/>
        <v>1</v>
      </c>
      <c r="K29" s="248"/>
      <c r="L29" s="248"/>
    </row>
    <row r="30" spans="2:12" s="99" customFormat="1" ht="21" customHeight="1">
      <c r="B30" s="100" t="s">
        <v>138</v>
      </c>
      <c r="C30" s="97"/>
      <c r="D30" s="291">
        <f>+VLOOKUP(B30,[2]Flujo!$B$23:$E$48,3,0)</f>
        <v>0</v>
      </c>
      <c r="E30" s="291">
        <f>+VLOOKUP(B30,[2]Flujo!$B$23:$E$48,4,0)</f>
        <v>0</v>
      </c>
      <c r="F30" s="98"/>
      <c r="G30" s="254">
        <f t="shared" si="0"/>
        <v>0</v>
      </c>
      <c r="H30" s="284">
        <f t="shared" si="1"/>
        <v>1</v>
      </c>
      <c r="K30" s="248"/>
      <c r="L30" s="248"/>
    </row>
    <row r="31" spans="2:12" s="99" customFormat="1" ht="21" customHeight="1">
      <c r="B31" s="100" t="s">
        <v>227</v>
      </c>
      <c r="C31" s="97"/>
      <c r="D31" s="291">
        <f>+VLOOKUP(B31,[2]Flujo!$B$23:$E$48,3,0)</f>
        <v>61226</v>
      </c>
      <c r="E31" s="291">
        <f>+VLOOKUP(B31,[2]Flujo!$B$23:$E$48,4,0)</f>
        <v>4056384</v>
      </c>
      <c r="F31" s="98"/>
      <c r="G31" s="254">
        <f t="shared" si="0"/>
        <v>-3995158</v>
      </c>
      <c r="H31" s="284">
        <f t="shared" si="1"/>
        <v>-0.98490626134014925</v>
      </c>
      <c r="K31" s="248"/>
      <c r="L31" s="248"/>
    </row>
    <row r="32" spans="2:12" s="99" customFormat="1" ht="21" customHeight="1">
      <c r="B32" s="100" t="s">
        <v>139</v>
      </c>
      <c r="C32" s="97"/>
      <c r="D32" s="291">
        <f>+VLOOKUP(B32,[2]Flujo!$B$23:$E$48,3,0)</f>
        <v>-132318689</v>
      </c>
      <c r="E32" s="291">
        <f>+VLOOKUP(B32,[2]Flujo!$B$23:$E$48,4,0)</f>
        <v>-142673331</v>
      </c>
      <c r="F32" s="98"/>
      <c r="G32" s="254">
        <f t="shared" si="0"/>
        <v>10354642</v>
      </c>
      <c r="H32" s="284">
        <f t="shared" si="1"/>
        <v>-7.2575876146047227E-2</v>
      </c>
      <c r="K32" s="248"/>
      <c r="L32" s="248"/>
    </row>
    <row r="33" spans="2:12" s="99" customFormat="1" ht="21" customHeight="1">
      <c r="B33" s="100" t="s">
        <v>187</v>
      </c>
      <c r="C33" s="97"/>
      <c r="D33" s="291">
        <f>+VLOOKUP(B33,[2]Flujo!$B$23:$E$48,3,0)</f>
        <v>0</v>
      </c>
      <c r="E33" s="291">
        <f>+VLOOKUP(B33,[2]Flujo!$B$23:$E$48,4,0)</f>
        <v>0</v>
      </c>
      <c r="F33" s="98"/>
      <c r="G33" s="254">
        <f t="shared" si="0"/>
        <v>0</v>
      </c>
      <c r="H33" s="284">
        <f t="shared" si="1"/>
        <v>1</v>
      </c>
      <c r="K33" s="248"/>
      <c r="L33" s="248"/>
    </row>
    <row r="34" spans="2:12" s="99" customFormat="1" ht="21" customHeight="1">
      <c r="B34" s="100" t="s">
        <v>140</v>
      </c>
      <c r="C34" s="97"/>
      <c r="D34" s="291">
        <f>+VLOOKUP(B34,[2]Flujo!$B$23:$E$48,3,0)</f>
        <v>-3136044</v>
      </c>
      <c r="E34" s="291">
        <f>+VLOOKUP(B34,[2]Flujo!$B$23:$E$48,4,0)</f>
        <v>-2856262</v>
      </c>
      <c r="F34" s="98"/>
      <c r="G34" s="254">
        <f t="shared" si="0"/>
        <v>-279782</v>
      </c>
      <c r="H34" s="284">
        <f t="shared" si="1"/>
        <v>9.7953899187119386E-2</v>
      </c>
      <c r="K34" s="248"/>
      <c r="L34" s="248"/>
    </row>
    <row r="35" spans="2:12" s="99" customFormat="1" ht="21" customHeight="1">
      <c r="B35" s="100" t="s">
        <v>179</v>
      </c>
      <c r="C35" s="97"/>
      <c r="D35" s="291">
        <f>+VLOOKUP(B35,[2]Flujo!$B$23:$E$48,3,0)</f>
        <v>0</v>
      </c>
      <c r="E35" s="291">
        <f>+VLOOKUP(B35,[2]Flujo!$B$23:$E$48,4,0)</f>
        <v>0</v>
      </c>
      <c r="F35" s="98"/>
      <c r="G35" s="254">
        <f t="shared" si="0"/>
        <v>0</v>
      </c>
      <c r="H35" s="284">
        <f t="shared" si="1"/>
        <v>1</v>
      </c>
      <c r="K35" s="248"/>
      <c r="L35" s="248"/>
    </row>
    <row r="36" spans="2:12" s="99" customFormat="1" ht="21" customHeight="1">
      <c r="B36" s="100" t="s">
        <v>141</v>
      </c>
      <c r="C36" s="97"/>
      <c r="D36" s="291">
        <f>+VLOOKUP(B36,[2]Flujo!$B$23:$E$48,3,0)</f>
        <v>0</v>
      </c>
      <c r="E36" s="291">
        <f>+VLOOKUP(B36,[2]Flujo!$B$23:$E$48,4,0)</f>
        <v>0</v>
      </c>
      <c r="F36" s="98"/>
      <c r="G36" s="254">
        <f t="shared" si="0"/>
        <v>0</v>
      </c>
      <c r="H36" s="284">
        <f t="shared" si="1"/>
        <v>1</v>
      </c>
      <c r="K36" s="248"/>
      <c r="L36" s="248"/>
    </row>
    <row r="37" spans="2:12" s="99" customFormat="1" ht="21" customHeight="1">
      <c r="B37" s="100" t="s">
        <v>142</v>
      </c>
      <c r="C37" s="97"/>
      <c r="D37" s="291">
        <f>+VLOOKUP(B37,[2]Flujo!$B$23:$E$48,3,0)</f>
        <v>0</v>
      </c>
      <c r="E37" s="291">
        <f>+VLOOKUP(B37,[2]Flujo!$B$23:$E$48,4,0)</f>
        <v>0</v>
      </c>
      <c r="F37" s="98"/>
      <c r="G37" s="254">
        <f t="shared" si="0"/>
        <v>0</v>
      </c>
      <c r="H37" s="284">
        <f t="shared" si="1"/>
        <v>1</v>
      </c>
      <c r="K37" s="248"/>
      <c r="L37" s="248"/>
    </row>
    <row r="38" spans="2:12" s="99" customFormat="1" ht="21" customHeight="1">
      <c r="B38" s="100" t="s">
        <v>143</v>
      </c>
      <c r="C38" s="97"/>
      <c r="D38" s="291">
        <f>+VLOOKUP(B38,[2]Flujo!$B$23:$E$48,3,0)</f>
        <v>0</v>
      </c>
      <c r="E38" s="291">
        <f>+VLOOKUP(B38,[2]Flujo!$B$23:$E$48,4,0)</f>
        <v>0</v>
      </c>
      <c r="F38" s="98"/>
      <c r="G38" s="254">
        <f t="shared" si="0"/>
        <v>0</v>
      </c>
      <c r="H38" s="284">
        <f t="shared" si="1"/>
        <v>1</v>
      </c>
      <c r="K38" s="248"/>
      <c r="L38" s="248"/>
    </row>
    <row r="39" spans="2:12" s="99" customFormat="1" ht="21" customHeight="1">
      <c r="B39" s="100" t="s">
        <v>144</v>
      </c>
      <c r="C39" s="97"/>
      <c r="D39" s="291">
        <f>+VLOOKUP(B39,[2]Flujo!$B$23:$E$48,3,0)</f>
        <v>0</v>
      </c>
      <c r="E39" s="291">
        <f>+VLOOKUP(B39,[2]Flujo!$B$23:$E$48,4,0)</f>
        <v>0</v>
      </c>
      <c r="F39" s="98"/>
      <c r="G39" s="254">
        <f t="shared" si="0"/>
        <v>0</v>
      </c>
      <c r="H39" s="284">
        <f t="shared" si="1"/>
        <v>1</v>
      </c>
      <c r="K39" s="248"/>
      <c r="L39" s="248"/>
    </row>
    <row r="40" spans="2:12" s="99" customFormat="1" ht="21" customHeight="1">
      <c r="B40" s="100" t="s">
        <v>145</v>
      </c>
      <c r="C40" s="97"/>
      <c r="D40" s="291">
        <f>+VLOOKUP(B40,[2]Flujo!$B$23:$E$48,3,0)</f>
        <v>0</v>
      </c>
      <c r="E40" s="291">
        <f>+VLOOKUP(B40,[2]Flujo!$B$23:$E$48,4,0)</f>
        <v>0</v>
      </c>
      <c r="F40" s="98"/>
      <c r="G40" s="254">
        <f t="shared" si="0"/>
        <v>0</v>
      </c>
      <c r="H40" s="284">
        <f t="shared" si="1"/>
        <v>1</v>
      </c>
      <c r="K40" s="248"/>
      <c r="L40" s="248"/>
    </row>
    <row r="41" spans="2:12" s="99" customFormat="1" ht="21" customHeight="1">
      <c r="B41" s="100" t="s">
        <v>146</v>
      </c>
      <c r="C41" s="97"/>
      <c r="D41" s="291">
        <f>+VLOOKUP(B41,[2]Flujo!$B$23:$E$48,3,0)</f>
        <v>0</v>
      </c>
      <c r="E41" s="291">
        <f>+VLOOKUP(B41,[2]Flujo!$B$23:$E$48,4,0)</f>
        <v>0</v>
      </c>
      <c r="F41" s="98"/>
      <c r="G41" s="254">
        <f t="shared" si="0"/>
        <v>0</v>
      </c>
      <c r="H41" s="284">
        <f t="shared" si="1"/>
        <v>1</v>
      </c>
      <c r="K41" s="248"/>
      <c r="L41" s="248"/>
    </row>
    <row r="42" spans="2:12" s="99" customFormat="1" ht="21" customHeight="1">
      <c r="B42" s="100" t="s">
        <v>180</v>
      </c>
      <c r="C42" s="97"/>
      <c r="D42" s="291">
        <f>+VLOOKUP(B42,[2]Flujo!$B$23:$E$48,3,0)</f>
        <v>0</v>
      </c>
      <c r="E42" s="291">
        <f>+VLOOKUP(B42,[2]Flujo!$B$23:$E$48,4,0)</f>
        <v>0</v>
      </c>
      <c r="F42" s="98"/>
      <c r="G42" s="254">
        <f t="shared" si="0"/>
        <v>0</v>
      </c>
      <c r="H42" s="284">
        <f t="shared" si="1"/>
        <v>1</v>
      </c>
      <c r="K42" s="248"/>
      <c r="L42" s="248"/>
    </row>
    <row r="43" spans="2:12" s="99" customFormat="1" ht="21" customHeight="1">
      <c r="B43" s="100" t="s">
        <v>128</v>
      </c>
      <c r="C43" s="97"/>
      <c r="D43" s="291">
        <f>+VLOOKUP(B43,[2]Flujo!$B$23:$E$48,3,0)</f>
        <v>0</v>
      </c>
      <c r="E43" s="291">
        <f>+VLOOKUP(B43,[2]Flujo!$B$23:$E$48,4,0)</f>
        <v>0</v>
      </c>
      <c r="F43" s="98"/>
      <c r="G43" s="254">
        <f t="shared" si="0"/>
        <v>0</v>
      </c>
      <c r="H43" s="284">
        <f t="shared" si="1"/>
        <v>1</v>
      </c>
      <c r="K43" s="248"/>
      <c r="L43" s="248"/>
    </row>
    <row r="44" spans="2:12" s="99" customFormat="1" ht="21" customHeight="1">
      <c r="B44" s="100" t="s">
        <v>130</v>
      </c>
      <c r="C44" s="97"/>
      <c r="D44" s="291">
        <f>+VLOOKUP(B44,[2]Flujo!$B$23:$E$48,3,0)</f>
        <v>6535626</v>
      </c>
      <c r="E44" s="291">
        <f>+VLOOKUP(B44,[2]Flujo!$B$23:$E$48,4,0)</f>
        <v>4747284</v>
      </c>
      <c r="F44" s="98"/>
      <c r="G44" s="254">
        <f t="shared" si="0"/>
        <v>1788342</v>
      </c>
      <c r="H44" s="284">
        <f t="shared" si="1"/>
        <v>0.37670845055825602</v>
      </c>
      <c r="K44" s="248"/>
      <c r="L44" s="248"/>
    </row>
    <row r="45" spans="2:12" s="99" customFormat="1" ht="21" customHeight="1">
      <c r="B45" s="100" t="s">
        <v>147</v>
      </c>
      <c r="C45" s="97"/>
      <c r="D45" s="291">
        <f>+VLOOKUP(B45,[2]Flujo!$B$23:$E$48,3,0)</f>
        <v>0</v>
      </c>
      <c r="E45" s="291">
        <f>+VLOOKUP(B45,[2]Flujo!$B$23:$E$48,4,0)</f>
        <v>0</v>
      </c>
      <c r="F45" s="98"/>
      <c r="G45" s="254">
        <f t="shared" si="0"/>
        <v>0</v>
      </c>
      <c r="H45" s="284">
        <f t="shared" si="1"/>
        <v>1</v>
      </c>
      <c r="K45" s="248"/>
      <c r="L45" s="248"/>
    </row>
    <row r="46" spans="2:12" s="99" customFormat="1" ht="21" customHeight="1" thickBot="1">
      <c r="B46" s="100" t="s">
        <v>148</v>
      </c>
      <c r="C46" s="97"/>
      <c r="D46" s="291">
        <f>+VLOOKUP(B46,[2]Flujo!$B$23:$E$48,3,0)</f>
        <v>0</v>
      </c>
      <c r="E46" s="291">
        <f>+VLOOKUP(B46,[2]Flujo!$B$23:$E$48,4,0)</f>
        <v>0</v>
      </c>
      <c r="F46" s="98"/>
      <c r="G46" s="254">
        <f t="shared" si="0"/>
        <v>0</v>
      </c>
      <c r="H46" s="284">
        <f t="shared" si="1"/>
        <v>1</v>
      </c>
      <c r="K46" s="248"/>
      <c r="L46" s="248"/>
    </row>
    <row r="47" spans="2:12" s="99" customFormat="1" ht="21" customHeight="1" thickBot="1">
      <c r="B47" s="101" t="s">
        <v>181</v>
      </c>
      <c r="C47" s="102"/>
      <c r="D47" s="293">
        <f>SUM(D23:D46)</f>
        <v>-128857881</v>
      </c>
      <c r="E47" s="293">
        <f>SUM(E23:E46)</f>
        <v>-136725925</v>
      </c>
      <c r="F47" s="98"/>
      <c r="G47" s="276">
        <f t="shared" si="0"/>
        <v>7868044</v>
      </c>
      <c r="H47" s="287">
        <f t="shared" si="1"/>
        <v>-5.7546101809148487E-2</v>
      </c>
      <c r="I47" s="330">
        <f>+D47-E47</f>
        <v>7868044</v>
      </c>
      <c r="J47" s="99">
        <v>39575081</v>
      </c>
      <c r="K47" s="248"/>
      <c r="L47" s="248"/>
    </row>
    <row r="48" spans="2:12" s="99" customFormat="1" ht="21" customHeight="1">
      <c r="B48" s="100" t="s">
        <v>149</v>
      </c>
      <c r="C48" s="97"/>
      <c r="D48" s="291">
        <f>+VLOOKUP(B48,[2]Flujo!$B$48:$E$72,3,0)</f>
        <v>0</v>
      </c>
      <c r="E48" s="291">
        <f>+VLOOKUP(B48,[2]Flujo!$B$48:$E$72,4,0)</f>
        <v>0</v>
      </c>
      <c r="F48" s="98"/>
      <c r="G48" s="254">
        <f t="shared" si="0"/>
        <v>0</v>
      </c>
      <c r="H48" s="284">
        <f t="shared" si="1"/>
        <v>1</v>
      </c>
      <c r="K48" s="248"/>
      <c r="L48" s="248"/>
    </row>
    <row r="49" spans="2:12" s="99" customFormat="1" ht="21" customHeight="1">
      <c r="B49" s="100" t="s">
        <v>150</v>
      </c>
      <c r="C49" s="97"/>
      <c r="D49" s="291">
        <f>+VLOOKUP(B49,[2]Flujo!$B$48:$E$72,3,0)</f>
        <v>0</v>
      </c>
      <c r="E49" s="291">
        <f>+VLOOKUP(B49,[2]Flujo!$B$48:$E$72,4,0)</f>
        <v>0</v>
      </c>
      <c r="F49" s="98"/>
      <c r="G49" s="254">
        <f t="shared" si="0"/>
        <v>0</v>
      </c>
      <c r="H49" s="284">
        <f t="shared" si="1"/>
        <v>1</v>
      </c>
      <c r="K49" s="248"/>
      <c r="L49" s="248"/>
    </row>
    <row r="50" spans="2:12" s="99" customFormat="1" ht="21" customHeight="1">
      <c r="B50" s="100" t="s">
        <v>151</v>
      </c>
      <c r="C50" s="97"/>
      <c r="D50" s="291">
        <f>+VLOOKUP(B50,[2]Flujo!$B$48:$E$72,3,0)</f>
        <v>0</v>
      </c>
      <c r="E50" s="291">
        <f>+VLOOKUP(B50,[2]Flujo!$B$48:$E$72,4,0)</f>
        <v>0</v>
      </c>
      <c r="F50" s="98"/>
      <c r="G50" s="254">
        <f t="shared" si="0"/>
        <v>0</v>
      </c>
      <c r="H50" s="284">
        <f t="shared" si="1"/>
        <v>1</v>
      </c>
      <c r="K50" s="248"/>
      <c r="L50" s="248"/>
    </row>
    <row r="51" spans="2:12" s="99" customFormat="1" ht="21" customHeight="1">
      <c r="B51" s="100" t="s">
        <v>152</v>
      </c>
      <c r="C51" s="97"/>
      <c r="D51" s="291">
        <f>+VLOOKUP(B51,[2]Flujo!$B$48:$E$72,3,0)</f>
        <v>0</v>
      </c>
      <c r="E51" s="291">
        <f>+VLOOKUP(B51,[2]Flujo!$B$48:$E$72,4,0)</f>
        <v>0</v>
      </c>
      <c r="F51" s="98"/>
      <c r="G51" s="254">
        <f t="shared" si="0"/>
        <v>0</v>
      </c>
      <c r="H51" s="284">
        <f t="shared" si="1"/>
        <v>1</v>
      </c>
      <c r="K51" s="248"/>
      <c r="L51" s="248"/>
    </row>
    <row r="52" spans="2:12" s="99" customFormat="1" ht="21" customHeight="1">
      <c r="B52" s="100" t="s">
        <v>153</v>
      </c>
      <c r="C52" s="97"/>
      <c r="D52" s="291">
        <f>+VLOOKUP(B52,[2]Flujo!$B$48:$E$72,3,0)</f>
        <v>166837113</v>
      </c>
      <c r="E52" s="291">
        <f>+VLOOKUP(B52,[2]Flujo!$B$48:$E$72,4,0)</f>
        <v>141124217</v>
      </c>
      <c r="F52" s="98"/>
      <c r="G52" s="254">
        <f t="shared" si="0"/>
        <v>25712896</v>
      </c>
      <c r="H52" s="284">
        <f t="shared" si="1"/>
        <v>0.18220045111038596</v>
      </c>
      <c r="J52" s="99">
        <v>39602985</v>
      </c>
      <c r="K52" s="248" t="s">
        <v>243</v>
      </c>
      <c r="L52" s="248"/>
    </row>
    <row r="53" spans="2:12" s="99" customFormat="1" ht="21" customHeight="1">
      <c r="B53" s="100" t="s">
        <v>154</v>
      </c>
      <c r="C53" s="97"/>
      <c r="D53" s="291">
        <f>+VLOOKUP(B53,[2]Flujo!$B$48:$E$72,3,0)</f>
        <v>0</v>
      </c>
      <c r="E53" s="291">
        <f>+VLOOKUP(B53,[2]Flujo!$B$48:$E$72,4,0)</f>
        <v>0</v>
      </c>
      <c r="F53" s="98"/>
      <c r="G53" s="254">
        <f t="shared" si="0"/>
        <v>0</v>
      </c>
      <c r="H53" s="284">
        <f t="shared" si="1"/>
        <v>1</v>
      </c>
      <c r="J53" s="99">
        <f>+J47-J52</f>
        <v>-27904</v>
      </c>
      <c r="K53" s="248"/>
      <c r="L53" s="248"/>
    </row>
    <row r="54" spans="2:12" s="99" customFormat="1" ht="21" customHeight="1">
      <c r="B54" s="246" t="s">
        <v>236</v>
      </c>
      <c r="C54" s="97"/>
      <c r="D54" s="292">
        <f>+SUM(D48:D53)</f>
        <v>166837113</v>
      </c>
      <c r="E54" s="292">
        <f>+SUM(E48:E53)</f>
        <v>141124217</v>
      </c>
      <c r="F54" s="98"/>
      <c r="G54" s="255">
        <f t="shared" si="0"/>
        <v>25712896</v>
      </c>
      <c r="H54" s="288">
        <f t="shared" si="1"/>
        <v>0.18220045111038596</v>
      </c>
      <c r="J54" s="328">
        <v>3182087735</v>
      </c>
      <c r="K54" s="329"/>
      <c r="L54" s="248"/>
    </row>
    <row r="55" spans="2:12" s="99" customFormat="1" ht="21" customHeight="1">
      <c r="B55" s="100" t="s">
        <v>155</v>
      </c>
      <c r="C55" s="97"/>
      <c r="D55" s="291">
        <f>+VLOOKUP(B55,[2]Flujo!$B$48:$E$72,3,0)</f>
        <v>0</v>
      </c>
      <c r="E55" s="291">
        <f>+VLOOKUP(B55,[2]Flujo!$B$48:$E$72,4,0)</f>
        <v>0</v>
      </c>
      <c r="F55" s="98"/>
      <c r="G55" s="254">
        <f t="shared" si="0"/>
        <v>0</v>
      </c>
      <c r="H55" s="284">
        <f t="shared" si="1"/>
        <v>1</v>
      </c>
      <c r="J55" s="328"/>
      <c r="K55" s="329"/>
      <c r="L55" s="248"/>
    </row>
    <row r="56" spans="2:12" s="99" customFormat="1" ht="21" customHeight="1">
      <c r="B56" s="100" t="s">
        <v>182</v>
      </c>
      <c r="C56" s="97"/>
      <c r="D56" s="291">
        <f>+VLOOKUP(B56,[2]Flujo!$B$48:$E$72,3,0)</f>
        <v>-102255318</v>
      </c>
      <c r="E56" s="291">
        <f>+VLOOKUP(B56,[2]Flujo!$B$48:$E$72,4,0)</f>
        <v>-145472405</v>
      </c>
      <c r="F56" s="98"/>
      <c r="G56" s="254">
        <f t="shared" si="0"/>
        <v>43217087</v>
      </c>
      <c r="H56" s="285">
        <f t="shared" si="1"/>
        <v>-0.29708099622055467</v>
      </c>
      <c r="J56" s="328">
        <v>5298882643</v>
      </c>
      <c r="K56" s="329" t="s">
        <v>244</v>
      </c>
      <c r="L56" s="248"/>
    </row>
    <row r="57" spans="2:12" s="99" customFormat="1" ht="21" customHeight="1">
      <c r="B57" s="100" t="s">
        <v>156</v>
      </c>
      <c r="C57" s="97"/>
      <c r="D57" s="291">
        <f>+VLOOKUP(B57,[2]Flujo!$B$48:$E$72,3,0)</f>
        <v>0</v>
      </c>
      <c r="E57" s="291">
        <f>+VLOOKUP(B57,[2]Flujo!$B$48:$E$72,4,0)</f>
        <v>0</v>
      </c>
      <c r="F57" s="98"/>
      <c r="G57" s="254">
        <f t="shared" si="0"/>
        <v>0</v>
      </c>
      <c r="H57" s="285">
        <f t="shared" si="1"/>
        <v>1</v>
      </c>
      <c r="K57" s="248"/>
      <c r="L57" s="248"/>
    </row>
    <row r="58" spans="2:12" s="99" customFormat="1" ht="21" customHeight="1">
      <c r="B58" s="100" t="s">
        <v>157</v>
      </c>
      <c r="C58" s="97"/>
      <c r="D58" s="291">
        <f>+VLOOKUP(B58,[2]Flujo!$B$48:$E$72,3,0)</f>
        <v>0</v>
      </c>
      <c r="E58" s="291">
        <f>+VLOOKUP(B58,[2]Flujo!$B$48:$E$72,4,0)</f>
        <v>0</v>
      </c>
      <c r="F58" s="98"/>
      <c r="G58" s="254">
        <f t="shared" si="0"/>
        <v>0</v>
      </c>
      <c r="H58" s="285">
        <f t="shared" si="1"/>
        <v>1</v>
      </c>
      <c r="K58" s="248"/>
      <c r="L58" s="248"/>
    </row>
    <row r="59" spans="2:12" s="99" customFormat="1" ht="21" customHeight="1">
      <c r="B59" s="100" t="s">
        <v>142</v>
      </c>
      <c r="C59" s="97"/>
      <c r="D59" s="291">
        <f>+VLOOKUP(B59,[2]Flujo!$B$48:$E$72,3,0)</f>
        <v>0</v>
      </c>
      <c r="E59" s="291">
        <f>+VLOOKUP(B59,[2]Flujo!$B$48:$E$72,4,0)</f>
        <v>0</v>
      </c>
      <c r="F59" s="98"/>
      <c r="G59" s="254">
        <f t="shared" si="0"/>
        <v>0</v>
      </c>
      <c r="H59" s="285">
        <f t="shared" si="1"/>
        <v>1</v>
      </c>
      <c r="K59" s="248"/>
      <c r="L59" s="248"/>
    </row>
    <row r="60" spans="2:12" s="99" customFormat="1" ht="21" customHeight="1">
      <c r="B60" s="251" t="s">
        <v>127</v>
      </c>
      <c r="C60" s="97"/>
      <c r="D60" s="291">
        <f>+VLOOKUP(B60,[2]Flujo!$B$48:$E$72,3,0)</f>
        <v>-87037751</v>
      </c>
      <c r="E60" s="291">
        <f>+VLOOKUP(B60,[2]Flujo!$B$48:$E$72,4,0)</f>
        <v>-90100417</v>
      </c>
      <c r="F60" s="98"/>
      <c r="G60" s="254">
        <f t="shared" si="0"/>
        <v>3062666</v>
      </c>
      <c r="H60" s="285">
        <f t="shared" si="1"/>
        <v>-3.3991696176056546E-2</v>
      </c>
      <c r="J60" s="99">
        <v>9827327500</v>
      </c>
      <c r="K60" s="329" t="s">
        <v>245</v>
      </c>
      <c r="L60" s="248"/>
    </row>
    <row r="61" spans="2:12" s="99" customFormat="1" ht="21" customHeight="1">
      <c r="B61" s="100" t="s">
        <v>129</v>
      </c>
      <c r="C61" s="97"/>
      <c r="D61" s="291">
        <f>+VLOOKUP(B61,[2]Flujo!$B$48:$E$72,3,0)</f>
        <v>-30793385</v>
      </c>
      <c r="E61" s="291">
        <f>+VLOOKUP(B61,[2]Flujo!$B$48:$E$72,4,0)</f>
        <v>-29541220</v>
      </c>
      <c r="F61" s="98"/>
      <c r="G61" s="254">
        <f t="shared" si="0"/>
        <v>-1252165</v>
      </c>
      <c r="H61" s="284">
        <f t="shared" si="1"/>
        <v>4.2387044272376023E-2</v>
      </c>
      <c r="K61" s="248"/>
      <c r="L61" s="248"/>
    </row>
    <row r="62" spans="2:12" s="99" customFormat="1" ht="21" customHeight="1">
      <c r="B62" s="100" t="s">
        <v>147</v>
      </c>
      <c r="C62" s="97"/>
      <c r="D62" s="291">
        <f>+VLOOKUP(B62,[2]Flujo!$B$48:$E$72,3,0)</f>
        <v>0</v>
      </c>
      <c r="E62" s="291">
        <f>+VLOOKUP(B62,[2]Flujo!$B$48:$E$72,4,0)</f>
        <v>0</v>
      </c>
      <c r="F62" s="98"/>
      <c r="G62" s="254">
        <f t="shared" ref="G62:G70" si="2">ROUND(+(D62-E62),0)</f>
        <v>0</v>
      </c>
      <c r="H62" s="284">
        <f t="shared" si="1"/>
        <v>1</v>
      </c>
      <c r="K62" s="248"/>
      <c r="L62" s="248"/>
    </row>
    <row r="63" spans="2:12" s="99" customFormat="1" ht="21" customHeight="1" thickBot="1">
      <c r="B63" s="100" t="s">
        <v>148</v>
      </c>
      <c r="C63" s="97"/>
      <c r="D63" s="291">
        <f>+VLOOKUP(B63,[2]Flujo!$B$48:$E$72,3,0)</f>
        <v>-1220142</v>
      </c>
      <c r="E63" s="291">
        <f>+VLOOKUP(B63,[2]Flujo!$B$48:$E$72,4,0)</f>
        <v>-1598321</v>
      </c>
      <c r="F63" s="98"/>
      <c r="G63" s="254">
        <f t="shared" si="2"/>
        <v>378179</v>
      </c>
      <c r="H63" s="284">
        <f t="shared" si="1"/>
        <v>-0.23661016779482971</v>
      </c>
      <c r="J63" s="328">
        <v>3887567500</v>
      </c>
      <c r="K63" s="329">
        <v>3634842500</v>
      </c>
    </row>
    <row r="64" spans="2:12" s="99" customFormat="1" ht="21" customHeight="1" thickBot="1">
      <c r="B64" s="101" t="s">
        <v>295</v>
      </c>
      <c r="C64" s="103"/>
      <c r="D64" s="293">
        <f>+SUM(D54:D63)</f>
        <v>-54469483</v>
      </c>
      <c r="E64" s="293">
        <f>+SUM(E54:E63)</f>
        <v>-125588146</v>
      </c>
      <c r="F64" s="98"/>
      <c r="G64" s="276">
        <f t="shared" si="2"/>
        <v>71118663</v>
      </c>
      <c r="H64" s="287">
        <f t="shared" ref="H64:H70" si="3">+IFERROR(G64/E64,1)</f>
        <v>-0.56628483869807267</v>
      </c>
      <c r="J64" s="328">
        <v>5939600000</v>
      </c>
      <c r="K64" s="329"/>
      <c r="L64" s="248"/>
    </row>
    <row r="65" spans="2:12" s="99" customFormat="1" ht="21" customHeight="1">
      <c r="B65" s="101" t="s">
        <v>237</v>
      </c>
      <c r="C65" s="103"/>
      <c r="D65" s="294">
        <f>+D64+D47+D22</f>
        <v>85128094</v>
      </c>
      <c r="E65" s="294">
        <f>+E64+E47+E22</f>
        <v>-34281668</v>
      </c>
      <c r="F65" s="98"/>
      <c r="G65" s="254">
        <f t="shared" si="2"/>
        <v>119409762</v>
      </c>
      <c r="H65" s="284">
        <f t="shared" si="3"/>
        <v>-3.4831958001576822</v>
      </c>
      <c r="K65" s="248"/>
      <c r="L65" s="248"/>
    </row>
    <row r="66" spans="2:12" s="99" customFormat="1" ht="21" customHeight="1">
      <c r="B66" s="104" t="s">
        <v>266</v>
      </c>
      <c r="C66" s="102"/>
      <c r="D66" s="295"/>
      <c r="E66" s="291"/>
      <c r="F66" s="98"/>
      <c r="G66" s="254">
        <f t="shared" si="2"/>
        <v>0</v>
      </c>
      <c r="H66" s="284">
        <f t="shared" si="3"/>
        <v>1</v>
      </c>
      <c r="K66" s="248"/>
      <c r="L66" s="248"/>
    </row>
    <row r="67" spans="2:12" s="99" customFormat="1" ht="21" customHeight="1" thickBot="1">
      <c r="B67" s="105" t="s">
        <v>158</v>
      </c>
      <c r="C67" s="102"/>
      <c r="D67" s="291">
        <f>+VLOOKUP(B67,[2]Flujo!$B$48:$E$72,3,0)</f>
        <v>0</v>
      </c>
      <c r="E67" s="291">
        <f>+VLOOKUP(B67,[2]Flujo!$B$48:$E$72,4,0)</f>
        <v>0</v>
      </c>
      <c r="F67" s="98"/>
      <c r="G67" s="254">
        <f t="shared" si="2"/>
        <v>0</v>
      </c>
      <c r="H67" s="284">
        <f t="shared" si="3"/>
        <v>1</v>
      </c>
      <c r="K67" s="248"/>
      <c r="L67" s="248"/>
    </row>
    <row r="68" spans="2:12" s="99" customFormat="1" ht="21" customHeight="1" thickBot="1">
      <c r="B68" s="101" t="s">
        <v>183</v>
      </c>
      <c r="C68" s="103"/>
      <c r="D68" s="291">
        <f>+VLOOKUP(B68,[2]Flujo!$B$48:$E$72,3,0)</f>
        <v>85128094</v>
      </c>
      <c r="E68" s="291">
        <f>+VLOOKUP(B68,[2]Flujo!$B$48:$E$72,4,0)</f>
        <v>-34281668</v>
      </c>
      <c r="F68" s="98"/>
      <c r="G68" s="276">
        <f t="shared" si="2"/>
        <v>119409762</v>
      </c>
      <c r="H68" s="287">
        <f t="shared" si="3"/>
        <v>-3.4831958001576822</v>
      </c>
      <c r="K68" s="248">
        <f>+J63+J64-K63</f>
        <v>6192325000</v>
      </c>
      <c r="L68" s="248"/>
    </row>
    <row r="69" spans="2:12" s="99" customFormat="1" ht="21" customHeight="1" thickBot="1">
      <c r="B69" s="100" t="s">
        <v>184</v>
      </c>
      <c r="C69" s="97"/>
      <c r="D69" s="291">
        <f>+VLOOKUP(B69,[2]Flujo!$B$48:$E$72,3,0)</f>
        <v>108758431</v>
      </c>
      <c r="E69" s="291">
        <f>+VLOOKUP(B69,[2]Flujo!$B$48:$E$72,4,0)</f>
        <v>109156681</v>
      </c>
      <c r="F69" s="106"/>
      <c r="G69" s="254">
        <f t="shared" si="2"/>
        <v>-398250</v>
      </c>
      <c r="H69" s="284">
        <f t="shared" si="3"/>
        <v>-3.648425330924087E-3</v>
      </c>
      <c r="J69" s="99">
        <f>+J64+J63-J60</f>
        <v>-160000</v>
      </c>
      <c r="K69" s="248"/>
      <c r="L69" s="248"/>
    </row>
    <row r="70" spans="2:12" s="99" customFormat="1" ht="21" customHeight="1" thickBot="1">
      <c r="B70" s="107" t="s">
        <v>185</v>
      </c>
      <c r="C70" s="108">
        <v>7</v>
      </c>
      <c r="D70" s="291">
        <f>+VLOOKUP(B70,[2]Flujo!$B:$E,3,0)</f>
        <v>193886525</v>
      </c>
      <c r="E70" s="291">
        <f>+VLOOKUP(B70,[2]Flujo!$B:$E,4,0)</f>
        <v>74875013</v>
      </c>
      <c r="G70" s="276">
        <f t="shared" si="2"/>
        <v>119011512</v>
      </c>
      <c r="H70" s="287">
        <f t="shared" si="3"/>
        <v>1.5894689994911921</v>
      </c>
      <c r="K70" s="248"/>
      <c r="L70" s="248"/>
    </row>
    <row r="71" spans="2:12">
      <c r="D71" s="270"/>
      <c r="E71" s="395">
        <v>74875013</v>
      </c>
    </row>
    <row r="72" spans="2:12">
      <c r="D72" s="296">
        <f>+D70-Balance!D6</f>
        <v>0</v>
      </c>
      <c r="E72" s="296">
        <f>+E70-E71</f>
        <v>0</v>
      </c>
    </row>
  </sheetData>
  <autoFilter ref="B2:E70" xr:uid="{00000000-0009-0000-0000-00000C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B050"/>
  </sheetPr>
  <dimension ref="B2:E28"/>
  <sheetViews>
    <sheetView showGridLines="0" zoomScale="70" zoomScaleNormal="70" workbookViewId="0">
      <selection activeCell="J20" sqref="J20"/>
    </sheetView>
  </sheetViews>
  <sheetFormatPr baseColWidth="10" defaultRowHeight="13.2"/>
  <sheetData>
    <row r="2" spans="2:2">
      <c r="B2" s="242" t="s">
        <v>221</v>
      </c>
    </row>
    <row r="28" spans="2:5">
      <c r="B28">
        <v>365</v>
      </c>
      <c r="E28">
        <v>299.5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workbookViewId="0">
      <selection activeCell="G25" sqref="G25"/>
    </sheetView>
  </sheetViews>
  <sheetFormatPr baseColWidth="10" defaultColWidth="0" defaultRowHeight="15" customHeight="1" zeroHeight="1"/>
  <cols>
    <col min="1" max="1" width="4" style="7" customWidth="1"/>
    <col min="2" max="2" width="44.5546875" style="7" bestFit="1" customWidth="1"/>
    <col min="3" max="4" width="12.5546875" style="7" customWidth="1"/>
    <col min="5" max="5" width="15.5546875" style="7" customWidth="1"/>
    <col min="6" max="6" width="13.44140625" style="7" bestFit="1" customWidth="1"/>
    <col min="7" max="8" width="11.44140625" style="7" customWidth="1"/>
    <col min="9" max="11" width="11.44140625" style="7" hidden="1" customWidth="1"/>
    <col min="12" max="13" width="0" style="7" hidden="1" customWidth="1"/>
    <col min="14" max="16384" width="11.44140625" style="7" hidden="1"/>
  </cols>
  <sheetData>
    <row r="1" spans="1:8" ht="15" customHeight="1">
      <c r="A1" s="13" t="s">
        <v>310</v>
      </c>
      <c r="B1" s="448" t="s">
        <v>310</v>
      </c>
    </row>
    <row r="2" spans="1:8" ht="15" customHeight="1"/>
    <row r="3" spans="1:8" ht="15" customHeight="1" thickBot="1">
      <c r="B3" s="2" t="s">
        <v>311</v>
      </c>
      <c r="C3" s="299" t="s">
        <v>306</v>
      </c>
      <c r="D3" s="299" t="s">
        <v>307</v>
      </c>
      <c r="E3" s="243" t="s">
        <v>216</v>
      </c>
      <c r="F3" s="298" t="s">
        <v>298</v>
      </c>
    </row>
    <row r="4" spans="1:8" ht="15" customHeight="1">
      <c r="B4" s="3" t="s">
        <v>321</v>
      </c>
      <c r="C4" s="300">
        <f>+Resultado!D5</f>
        <v>520857684</v>
      </c>
      <c r="D4" s="300">
        <f>+Resultado!E5</f>
        <v>483314321</v>
      </c>
      <c r="E4" s="9">
        <f>IFERROR((ROUND(+F4/D4,3)),0)</f>
        <v>7.8E-2</v>
      </c>
      <c r="F4" s="8">
        <f t="shared" ref="F4:F14" si="0">+C4-D4</f>
        <v>37543363</v>
      </c>
      <c r="G4" s="18"/>
      <c r="H4" s="21"/>
    </row>
    <row r="5" spans="1:8" s="14" customFormat="1" ht="15" customHeight="1">
      <c r="B5" s="4" t="s">
        <v>313</v>
      </c>
      <c r="C5" s="399">
        <f>+Resultado!D6+Resultado!D7+Resultado!D10+Resultado!D9</f>
        <v>-266547275</v>
      </c>
      <c r="D5" s="399">
        <f>+Resultado!E6+Resultado!E7+Resultado!E10+Resultado!E9</f>
        <v>-248008011</v>
      </c>
      <c r="E5" s="9">
        <f t="shared" ref="E5:E14" si="1">IFERROR((ROUND(+F5/D5,3)),0)</f>
        <v>7.4999999999999997E-2</v>
      </c>
      <c r="F5" s="8">
        <f t="shared" si="0"/>
        <v>-18539264</v>
      </c>
      <c r="G5" s="18"/>
      <c r="H5" s="21"/>
    </row>
    <row r="6" spans="1:8" s="14" customFormat="1" ht="15" customHeight="1">
      <c r="B6" s="5" t="s">
        <v>167</v>
      </c>
      <c r="C6" s="301">
        <f>+C4+C5</f>
        <v>254310409</v>
      </c>
      <c r="D6" s="301">
        <f>+D4+D5</f>
        <v>235306310</v>
      </c>
      <c r="E6" s="11">
        <f t="shared" si="1"/>
        <v>8.1000000000000003E-2</v>
      </c>
      <c r="F6" s="10">
        <f t="shared" si="0"/>
        <v>19004099</v>
      </c>
      <c r="G6" s="26"/>
      <c r="H6" s="21"/>
    </row>
    <row r="7" spans="1:8" s="14" customFormat="1" ht="15" customHeight="1">
      <c r="B7" s="4" t="s">
        <v>314</v>
      </c>
      <c r="C7" s="300">
        <f>+Resultado!D8</f>
        <v>-64792798</v>
      </c>
      <c r="D7" s="300">
        <f>+Resultado!E8</f>
        <v>-60798649</v>
      </c>
      <c r="E7" s="9">
        <f t="shared" si="1"/>
        <v>6.6000000000000003E-2</v>
      </c>
      <c r="F7" s="8">
        <f t="shared" si="0"/>
        <v>-3994149</v>
      </c>
      <c r="G7" s="18"/>
      <c r="H7" s="21"/>
    </row>
    <row r="8" spans="1:8" s="14" customFormat="1" ht="15" customHeight="1">
      <c r="B8" s="5" t="s">
        <v>315</v>
      </c>
      <c r="C8" s="301">
        <f>+C6+C7</f>
        <v>189517611</v>
      </c>
      <c r="D8" s="301">
        <f>+D6+D7</f>
        <v>174507661</v>
      </c>
      <c r="E8" s="11">
        <f t="shared" si="1"/>
        <v>8.5999999999999993E-2</v>
      </c>
      <c r="F8" s="10">
        <f t="shared" si="0"/>
        <v>15009950</v>
      </c>
      <c r="G8" s="26"/>
      <c r="H8" s="21"/>
    </row>
    <row r="9" spans="1:8" s="14" customFormat="1" ht="14.4" customHeight="1">
      <c r="B9" s="4" t="s">
        <v>316</v>
      </c>
      <c r="C9" s="300">
        <f>+Resultado!D11+Resultado!D15</f>
        <v>-2946528</v>
      </c>
      <c r="D9" s="300">
        <f>+Resultado!E11</f>
        <v>1964976</v>
      </c>
      <c r="E9" s="9">
        <f t="shared" si="1"/>
        <v>-2.5</v>
      </c>
      <c r="F9" s="8">
        <f>+C9-D9</f>
        <v>-4911504</v>
      </c>
      <c r="G9" s="18"/>
      <c r="H9" s="21"/>
    </row>
    <row r="10" spans="1:8" s="14" customFormat="1" ht="14.1" hidden="1" customHeight="1">
      <c r="B10" s="4" t="s">
        <v>241</v>
      </c>
      <c r="C10" s="399"/>
      <c r="D10" s="399">
        <f>Resultado!E15</f>
        <v>0</v>
      </c>
      <c r="E10" s="312">
        <f t="shared" si="1"/>
        <v>0</v>
      </c>
      <c r="F10" s="8">
        <f t="shared" si="0"/>
        <v>0</v>
      </c>
      <c r="G10" s="18"/>
      <c r="H10" s="21"/>
    </row>
    <row r="11" spans="1:8" s="14" customFormat="1" ht="15" customHeight="1">
      <c r="B11" s="4" t="s">
        <v>317</v>
      </c>
      <c r="C11" s="399">
        <f>+Resultado!D13+Resultado!D14+Resultado!D16+Resultado!D17</f>
        <v>-65655997</v>
      </c>
      <c r="D11" s="399">
        <f>+Resultado!E13+Resultado!E14+Resultado!E16+Resultado!E17</f>
        <v>-60740153</v>
      </c>
      <c r="E11" s="9">
        <f t="shared" si="1"/>
        <v>8.1000000000000003E-2</v>
      </c>
      <c r="F11" s="8">
        <f t="shared" si="0"/>
        <v>-4915844</v>
      </c>
      <c r="G11" s="18"/>
      <c r="H11" s="21"/>
    </row>
    <row r="12" spans="1:8" s="14" customFormat="1" ht="15" customHeight="1">
      <c r="B12" s="4" t="s">
        <v>318</v>
      </c>
      <c r="C12" s="399">
        <f>+Resultado!D20</f>
        <v>-23608532</v>
      </c>
      <c r="D12" s="399">
        <f>+Resultado!E20</f>
        <v>-24328925</v>
      </c>
      <c r="E12" s="9">
        <f t="shared" si="1"/>
        <v>-0.03</v>
      </c>
      <c r="F12" s="8">
        <f t="shared" si="0"/>
        <v>720393</v>
      </c>
      <c r="G12" s="18"/>
      <c r="H12" s="21"/>
    </row>
    <row r="13" spans="1:8" s="14" customFormat="1" ht="15" customHeight="1">
      <c r="B13" s="4" t="s">
        <v>319</v>
      </c>
      <c r="C13" s="399">
        <f>-Resultado!D27</f>
        <v>-1589</v>
      </c>
      <c r="D13" s="399">
        <f>-Resultado!E27</f>
        <v>-1443</v>
      </c>
      <c r="E13" s="9">
        <f t="shared" si="1"/>
        <v>0.10100000000000001</v>
      </c>
      <c r="F13" s="8">
        <f t="shared" ref="F13" si="2">+C13-D13</f>
        <v>-146</v>
      </c>
      <c r="G13" s="18"/>
      <c r="H13" s="21"/>
    </row>
    <row r="14" spans="1:8" s="14" customFormat="1" ht="15" customHeight="1">
      <c r="B14" s="5" t="s">
        <v>320</v>
      </c>
      <c r="C14" s="398">
        <f>+Resultado!D26</f>
        <v>97304965</v>
      </c>
      <c r="D14" s="398">
        <f>+Resultado!E26</f>
        <v>91402116</v>
      </c>
      <c r="E14" s="11">
        <f t="shared" si="1"/>
        <v>6.5000000000000002E-2</v>
      </c>
      <c r="F14" s="10">
        <f t="shared" si="0"/>
        <v>5902849</v>
      </c>
      <c r="G14" s="26"/>
      <c r="H14" s="21"/>
    </row>
    <row r="15" spans="1:8" s="14" customFormat="1" ht="15" customHeight="1">
      <c r="C15" s="358">
        <f>+C14-Resultado!D26</f>
        <v>0</v>
      </c>
      <c r="D15" s="358">
        <f>+D14-Resultado!E26</f>
        <v>0</v>
      </c>
    </row>
    <row r="16" spans="1:8" ht="15" customHeight="1">
      <c r="C16" s="314">
        <f>+C8+C9+C10+C11+C12+C13-C14</f>
        <v>0</v>
      </c>
      <c r="D16" s="314">
        <f>+D8+D9+D10+D11+D12+D13-D14</f>
        <v>0</v>
      </c>
    </row>
    <row r="17" spans="1:8" s="344" customFormat="1" ht="15" customHeight="1">
      <c r="A17" s="13" t="s">
        <v>175</v>
      </c>
      <c r="B17" s="449" t="s">
        <v>322</v>
      </c>
      <c r="C17" s="16"/>
      <c r="D17" s="16"/>
      <c r="E17" s="359"/>
      <c r="F17" s="360"/>
      <c r="G17" s="16"/>
      <c r="H17" s="14"/>
    </row>
    <row r="18" spans="1:8" s="344" customFormat="1" ht="15" customHeight="1" thickBot="1">
      <c r="B18" s="7"/>
      <c r="C18" s="450" t="str">
        <f>+C3</f>
        <v>Sep.25</v>
      </c>
      <c r="D18" s="450"/>
      <c r="E18" s="7"/>
      <c r="F18" s="451" t="str">
        <f>+D3</f>
        <v>Sep.24</v>
      </c>
      <c r="G18" s="451"/>
      <c r="H18" s="7"/>
    </row>
    <row r="19" spans="1:8" s="344" customFormat="1" ht="15" customHeight="1">
      <c r="B19" s="7"/>
      <c r="C19" s="361" t="s">
        <v>331</v>
      </c>
      <c r="D19" s="452" t="s">
        <v>330</v>
      </c>
      <c r="E19" s="7"/>
      <c r="F19" s="17" t="s">
        <v>331</v>
      </c>
      <c r="G19" s="454" t="s">
        <v>330</v>
      </c>
      <c r="H19" s="7"/>
    </row>
    <row r="20" spans="1:8" s="344" customFormat="1" ht="15" customHeight="1" thickBot="1">
      <c r="B20" s="7"/>
      <c r="C20" s="299" t="s">
        <v>333</v>
      </c>
      <c r="D20" s="453"/>
      <c r="E20" s="7"/>
      <c r="F20" s="6" t="s">
        <v>332</v>
      </c>
      <c r="G20" s="455"/>
      <c r="H20" s="7"/>
    </row>
    <row r="21" spans="1:8" s="344" customFormat="1" ht="15" customHeight="1">
      <c r="B21" s="4" t="s">
        <v>323</v>
      </c>
      <c r="C21" s="18">
        <f>+'[1]N25 Ingresos Ordinarios'!C6</f>
        <v>211754049</v>
      </c>
      <c r="D21" s="362">
        <v>0.40699999999999997</v>
      </c>
      <c r="E21" s="7"/>
      <c r="F21" s="18">
        <f>+'[1]N25 Ingresos Ordinarios'!D6</f>
        <v>196502255</v>
      </c>
      <c r="G21" s="362">
        <v>0.40699999999999997</v>
      </c>
      <c r="H21" s="7"/>
    </row>
    <row r="22" spans="1:8" s="344" customFormat="1" ht="15" customHeight="1">
      <c r="B22" s="4" t="s">
        <v>325</v>
      </c>
      <c r="C22" s="18">
        <f>+'[1]N25 Ingresos Ordinarios'!C7</f>
        <v>237896197</v>
      </c>
      <c r="D22" s="362">
        <v>0.45700000000000002</v>
      </c>
      <c r="E22" s="7"/>
      <c r="F22" s="18">
        <f>+'[1]N25 Ingresos Ordinarios'!D7</f>
        <v>217408241</v>
      </c>
      <c r="G22" s="362">
        <v>0.45</v>
      </c>
      <c r="H22" s="7"/>
    </row>
    <row r="23" spans="1:8" s="344" customFormat="1" ht="15" customHeight="1">
      <c r="B23" s="15" t="s">
        <v>326</v>
      </c>
      <c r="C23" s="18">
        <f>+'[1]N25 Ingresos Ordinarios'!C9</f>
        <v>20609869</v>
      </c>
      <c r="D23" s="362">
        <v>3.9E-2</v>
      </c>
      <c r="E23" s="7"/>
      <c r="F23" s="18">
        <f>+'[1]N25 Ingresos Ordinarios'!D9</f>
        <v>19550385</v>
      </c>
      <c r="G23" s="362">
        <v>0.04</v>
      </c>
      <c r="H23" s="7"/>
    </row>
    <row r="24" spans="1:8" s="344" customFormat="1" ht="15" customHeight="1" thickBot="1">
      <c r="B24" s="15" t="s">
        <v>327</v>
      </c>
      <c r="C24" s="363">
        <f>+'[1]N25 Ingresos Ordinarios'!C8</f>
        <v>50597569</v>
      </c>
      <c r="D24" s="364">
        <v>9.7000000000000003E-2</v>
      </c>
      <c r="E24" s="7"/>
      <c r="F24" s="363">
        <f>+'[1]N25 Ingresos Ordinarios'!D8</f>
        <v>49853440</v>
      </c>
      <c r="G24" s="364">
        <v>0.10299999999999999</v>
      </c>
      <c r="H24" s="7"/>
    </row>
    <row r="25" spans="1:8" s="344" customFormat="1" ht="15" customHeight="1" thickTop="1">
      <c r="B25" s="5" t="s">
        <v>172</v>
      </c>
      <c r="C25" s="26">
        <f>SUM(C21:C24)</f>
        <v>520857684</v>
      </c>
      <c r="D25" s="365">
        <f>SUM(D21:D24)</f>
        <v>1</v>
      </c>
      <c r="E25" s="7"/>
      <c r="F25" s="26">
        <f>SUM(F21:F24)</f>
        <v>483314321</v>
      </c>
      <c r="G25" s="365">
        <f>SUM(G21:G24)</f>
        <v>1</v>
      </c>
      <c r="H25" s="7"/>
    </row>
    <row r="26" spans="1:8" s="344" customFormat="1" ht="15" customHeight="1">
      <c r="B26" s="14"/>
      <c r="C26" s="366">
        <f>+C25-C4</f>
        <v>0</v>
      </c>
      <c r="D26" s="366"/>
      <c r="E26" s="367"/>
      <c r="F26" s="366">
        <f>+F25-D4</f>
        <v>0</v>
      </c>
      <c r="G26" s="14"/>
      <c r="H26" s="14"/>
    </row>
    <row r="27" spans="1:8" s="344" customFormat="1" ht="15" customHeight="1" thickBot="1">
      <c r="B27" s="434" t="s">
        <v>328</v>
      </c>
      <c r="C27" s="433" t="str">
        <f>+C3</f>
        <v>Sep.25</v>
      </c>
      <c r="D27" s="433" t="str">
        <f>+D3</f>
        <v>Sep.24</v>
      </c>
      <c r="E27" s="433" t="s">
        <v>164</v>
      </c>
      <c r="F27" s="343"/>
      <c r="G27" s="433" t="s">
        <v>329</v>
      </c>
    </row>
    <row r="28" spans="1:8" s="344" customFormat="1" ht="15" customHeight="1">
      <c r="B28" s="436" t="s">
        <v>324</v>
      </c>
      <c r="C28" s="435">
        <v>395214</v>
      </c>
      <c r="D28" s="435">
        <v>390430</v>
      </c>
      <c r="E28" s="437">
        <v>1.2E-2</v>
      </c>
      <c r="F28" s="343"/>
      <c r="G28" s="438">
        <v>4785</v>
      </c>
    </row>
    <row r="29" spans="1:8" s="344" customFormat="1" ht="15" customHeight="1">
      <c r="B29" s="436" t="s">
        <v>334</v>
      </c>
      <c r="C29" s="435">
        <v>377066</v>
      </c>
      <c r="D29" s="435">
        <v>374766</v>
      </c>
      <c r="E29" s="437">
        <v>6.0000000000000001E-3</v>
      </c>
      <c r="F29" s="343"/>
      <c r="G29" s="438">
        <v>2300</v>
      </c>
    </row>
    <row r="30" spans="1:8" s="344" customFormat="1" ht="15" customHeight="1">
      <c r="B30" s="436" t="s">
        <v>335</v>
      </c>
      <c r="C30" s="435">
        <v>324060</v>
      </c>
      <c r="D30" s="435">
        <v>322868</v>
      </c>
      <c r="E30" s="437">
        <v>4.0000000000000001E-3</v>
      </c>
      <c r="F30" s="343"/>
      <c r="G30" s="438">
        <v>1192</v>
      </c>
    </row>
    <row r="31" spans="1:8" s="343" customFormat="1" ht="15" customHeight="1">
      <c r="B31" s="436" t="s">
        <v>336</v>
      </c>
      <c r="C31" s="435">
        <v>92128</v>
      </c>
      <c r="D31" s="435">
        <v>90384</v>
      </c>
      <c r="E31" s="437">
        <v>1.9E-2</v>
      </c>
      <c r="F31" s="440"/>
      <c r="G31" s="438">
        <v>1744</v>
      </c>
    </row>
    <row r="32" spans="1:8" s="343" customFormat="1" ht="15" customHeight="1">
      <c r="C32" s="441"/>
      <c r="D32" s="441"/>
    </row>
    <row r="33" spans="2:7" s="343" customFormat="1" ht="15" customHeight="1" thickBot="1">
      <c r="B33" s="432" t="s">
        <v>337</v>
      </c>
      <c r="C33" s="433" t="str">
        <f>+C27</f>
        <v>Sep.25</v>
      </c>
      <c r="D33" s="433" t="str">
        <f>+D27</f>
        <v>Sep.24</v>
      </c>
      <c r="E33" s="433" t="s">
        <v>164</v>
      </c>
      <c r="G33" s="433" t="s">
        <v>329</v>
      </c>
    </row>
    <row r="34" spans="2:7" s="343" customFormat="1" ht="15" customHeight="1">
      <c r="B34" s="23" t="s">
        <v>324</v>
      </c>
      <c r="C34" s="18">
        <v>2368669</v>
      </c>
      <c r="D34" s="18">
        <v>2339334</v>
      </c>
      <c r="E34" s="442">
        <f>ROUND(G34/D34,3)</f>
        <v>1.2999999999999999E-2</v>
      </c>
      <c r="G34" s="443">
        <f>+C34-D34</f>
        <v>29335</v>
      </c>
    </row>
    <row r="35" spans="2:7" s="343" customFormat="1" ht="15" customHeight="1">
      <c r="B35" s="23" t="s">
        <v>334</v>
      </c>
      <c r="C35" s="18">
        <v>2323526</v>
      </c>
      <c r="D35" s="18">
        <v>2294619</v>
      </c>
      <c r="E35" s="442">
        <f>ROUND(G35/D35,3)</f>
        <v>1.2999999999999999E-2</v>
      </c>
      <c r="G35" s="443">
        <f>+C35-D35</f>
        <v>28907</v>
      </c>
    </row>
    <row r="36" spans="2:7" s="343" customFormat="1" ht="15" customHeight="1"/>
    <row r="37" spans="2:7" s="343" customFormat="1" ht="15" customHeight="1">
      <c r="B37" s="444" t="s">
        <v>338</v>
      </c>
    </row>
    <row r="38" spans="2:7" s="343" customFormat="1" ht="15" customHeight="1">
      <c r="B38" s="444"/>
    </row>
    <row r="39" spans="2:7" s="343" customFormat="1" ht="14.4" thickBot="1">
      <c r="B39" s="432" t="s">
        <v>312</v>
      </c>
      <c r="C39" s="433" t="str">
        <f>+C33</f>
        <v>Sep.25</v>
      </c>
      <c r="D39" s="433" t="str">
        <f>+D33</f>
        <v>Sep.24</v>
      </c>
      <c r="E39" s="433" t="str">
        <f>+E33</f>
        <v>% Var.</v>
      </c>
    </row>
    <row r="40" spans="2:7" s="343" customFormat="1" ht="13.8">
      <c r="B40" s="445" t="s">
        <v>159</v>
      </c>
      <c r="C40" s="18">
        <v>18194953</v>
      </c>
      <c r="D40" s="18">
        <v>16665609</v>
      </c>
      <c r="E40" s="442">
        <f>ROUND(+C40/D40,3)-1</f>
        <v>9.2000000000000082E-2</v>
      </c>
    </row>
    <row r="41" spans="2:7" s="343" customFormat="1" ht="13.8">
      <c r="B41" s="445" t="s">
        <v>225</v>
      </c>
      <c r="C41" s="18">
        <v>9097585</v>
      </c>
      <c r="D41" s="18">
        <v>7767924</v>
      </c>
      <c r="E41" s="442">
        <f>ROUND(+C41/D41,3)-1</f>
        <v>0.17100000000000004</v>
      </c>
    </row>
    <row r="42" spans="2:7" s="343" customFormat="1" ht="13.8">
      <c r="B42" s="445" t="s">
        <v>247</v>
      </c>
      <c r="C42" s="18">
        <v>4431872</v>
      </c>
      <c r="D42" s="18">
        <v>2618985</v>
      </c>
      <c r="E42" s="442">
        <f>ROUND(+C42/D42,3)-1</f>
        <v>0.69199999999999995</v>
      </c>
    </row>
    <row r="43" spans="2:7" s="343" customFormat="1" ht="13.8">
      <c r="B43" s="445" t="s">
        <v>273</v>
      </c>
      <c r="C43" s="18">
        <v>1821904</v>
      </c>
      <c r="D43" s="18">
        <v>2552799</v>
      </c>
      <c r="E43" s="442">
        <f>ROUND(+C43/D43,3)-1</f>
        <v>-0.28600000000000003</v>
      </c>
    </row>
    <row r="44" spans="2:7" s="343" customFormat="1" ht="13.8">
      <c r="B44" s="446" t="s">
        <v>339</v>
      </c>
      <c r="C44" s="439">
        <f>SUM(C40:C43)</f>
        <v>33546314</v>
      </c>
      <c r="D44" s="439">
        <f>SUM(D40:D43)</f>
        <v>29605317</v>
      </c>
      <c r="E44" s="447">
        <f>ROUND(+C44/D44,3)-1</f>
        <v>0.13300000000000001</v>
      </c>
    </row>
    <row r="45" spans="2:7" s="343" customFormat="1" ht="15" customHeight="1">
      <c r="C45" s="368"/>
      <c r="D45" s="368"/>
    </row>
    <row r="46" spans="2:7" s="343" customFormat="1" ht="15" customHeight="1">
      <c r="C46" s="369"/>
      <c r="D46" s="369"/>
      <c r="G46" s="369"/>
    </row>
    <row r="47" spans="2:7" s="343" customFormat="1" ht="15" customHeight="1"/>
    <row r="50" spans="2:3" ht="15" hidden="1" customHeight="1">
      <c r="B50" s="4"/>
      <c r="C50" s="22"/>
    </row>
    <row r="51" spans="2:3" ht="15" hidden="1" customHeight="1">
      <c r="B51" s="4"/>
      <c r="C51" s="22"/>
    </row>
    <row r="52" spans="2:3" ht="15" hidden="1" customHeight="1">
      <c r="B52" s="4"/>
      <c r="C52" s="22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B1:M44"/>
  <sheetViews>
    <sheetView showGridLines="0" workbookViewId="0">
      <selection activeCell="I6" sqref="I6"/>
    </sheetView>
  </sheetViews>
  <sheetFormatPr baseColWidth="10" defaultColWidth="11.44140625" defaultRowHeight="13.8"/>
  <cols>
    <col min="1" max="1" width="11.44140625" style="7"/>
    <col min="2" max="2" width="25.44140625" style="7" bestFit="1" customWidth="1"/>
    <col min="3" max="4" width="12" style="7" bestFit="1" customWidth="1"/>
    <col min="5" max="9" width="11.44140625" style="7"/>
    <col min="10" max="10" width="68.44140625" style="7" bestFit="1" customWidth="1"/>
    <col min="11" max="11" width="12.44140625" style="7" bestFit="1" customWidth="1"/>
    <col min="12" max="16384" width="11.44140625" style="7"/>
  </cols>
  <sheetData>
    <row r="1" spans="2:13">
      <c r="B1" s="12" t="s">
        <v>204</v>
      </c>
    </row>
    <row r="3" spans="2:13" ht="14.4" thickBot="1">
      <c r="B3" s="50" t="s">
        <v>192</v>
      </c>
      <c r="C3" s="6" t="str">
        <f>+Results!C3</f>
        <v>Sep.25</v>
      </c>
      <c r="D3" s="6" t="str">
        <f>+Results!D3</f>
        <v>Sep.24</v>
      </c>
      <c r="E3" s="6" t="s">
        <v>164</v>
      </c>
      <c r="G3" s="6" t="str">
        <f>+Results!F3</f>
        <v>2025 / 2024</v>
      </c>
    </row>
    <row r="4" spans="2:13">
      <c r="B4" s="23" t="s">
        <v>212</v>
      </c>
      <c r="C4" s="8">
        <f>+ROUND('[2]N30 Segmentos'!$C$6,0)</f>
        <v>486966086</v>
      </c>
      <c r="D4" s="8">
        <f>+ROUND('[2]N30 Segmentos'!$E$6,0)</f>
        <v>453293970</v>
      </c>
      <c r="E4" s="9">
        <f t="shared" ref="E4:E14" si="0">ROUND(+G4/D4,3)</f>
        <v>7.3999999999999996E-2</v>
      </c>
      <c r="G4" s="8">
        <f>+C4-D4</f>
        <v>33672116</v>
      </c>
      <c r="J4" s="24"/>
      <c r="K4" s="25"/>
      <c r="L4" s="25"/>
      <c r="M4" s="25"/>
    </row>
    <row r="5" spans="2:13">
      <c r="B5" s="23" t="s">
        <v>213</v>
      </c>
      <c r="C5" s="8">
        <f>+ROUND('[2]N30 Segmentos'!$C$7,0)</f>
        <v>1244945</v>
      </c>
      <c r="D5" s="8">
        <f>+ROUND('[2]N30 Segmentos'!$E$7,0)</f>
        <v>1135131</v>
      </c>
      <c r="E5" s="9">
        <f t="shared" si="0"/>
        <v>9.7000000000000003E-2</v>
      </c>
      <c r="F5" s="20"/>
      <c r="G5" s="8">
        <f t="shared" ref="G5:G14" si="1">+C5-D5</f>
        <v>109814</v>
      </c>
      <c r="J5" s="24"/>
      <c r="K5" s="25"/>
      <c r="L5" s="25"/>
      <c r="M5" s="25"/>
    </row>
    <row r="6" spans="2:13">
      <c r="B6" s="23" t="s">
        <v>207</v>
      </c>
      <c r="C6" s="8">
        <f>+ROUND('[2]N30 Segmentos'!$C$9+'[2]N30 Segmentos'!$C$10+'[2]N30 Segmentos'!$C$11+'[2]N30 Segmentos'!$C$17,0)</f>
        <v>-241506743</v>
      </c>
      <c r="D6" s="8">
        <f>+ROUND('[2]N30 Segmentos'!$E$9+'[2]N30 Segmentos'!$E$10+'[2]N30 Segmentos'!$E$11+'[2]N30 Segmentos'!$E$13+'[2]N30 Segmentos'!$E$17,0)</f>
        <v>-226507623</v>
      </c>
      <c r="E6" s="9">
        <f t="shared" si="0"/>
        <v>6.6000000000000003E-2</v>
      </c>
      <c r="G6" s="8">
        <f t="shared" si="1"/>
        <v>-14999120</v>
      </c>
      <c r="I6" s="417"/>
      <c r="J6" s="24"/>
      <c r="K6" s="25"/>
      <c r="L6" s="25"/>
      <c r="M6" s="25"/>
    </row>
    <row r="7" spans="2:13" s="12" customFormat="1">
      <c r="B7" s="51" t="s">
        <v>167</v>
      </c>
      <c r="C7" s="301">
        <f>+SUM(C4:C6)</f>
        <v>246704288</v>
      </c>
      <c r="D7" s="301">
        <f>+SUM(D4:D6)</f>
        <v>227921478</v>
      </c>
      <c r="E7" s="11">
        <f t="shared" si="0"/>
        <v>8.2000000000000003E-2</v>
      </c>
      <c r="G7" s="10">
        <f t="shared" si="1"/>
        <v>18782810</v>
      </c>
      <c r="I7" s="418"/>
      <c r="J7" s="27"/>
      <c r="K7" s="28"/>
      <c r="L7" s="28"/>
      <c r="M7" s="28"/>
    </row>
    <row r="8" spans="2:13">
      <c r="B8" s="23" t="s">
        <v>58</v>
      </c>
      <c r="C8" s="8">
        <f>+'[2]N30 Segmentos'!$C$12</f>
        <v>-62800015</v>
      </c>
      <c r="D8" s="8">
        <f>+'[2]N30 Segmentos'!$E$12</f>
        <v>-58984360</v>
      </c>
      <c r="E8" s="9">
        <f t="shared" si="0"/>
        <v>6.5000000000000002E-2</v>
      </c>
      <c r="G8" s="8">
        <f t="shared" si="1"/>
        <v>-3815655</v>
      </c>
      <c r="J8" s="24"/>
      <c r="K8" s="25"/>
      <c r="L8" s="25"/>
      <c r="M8" s="25"/>
    </row>
    <row r="9" spans="2:13" s="12" customFormat="1">
      <c r="B9" s="51" t="s">
        <v>208</v>
      </c>
      <c r="C9" s="301">
        <f>+C7+C8</f>
        <v>183904273</v>
      </c>
      <c r="D9" s="301">
        <f>+D7+D8</f>
        <v>168937118</v>
      </c>
      <c r="E9" s="11">
        <f t="shared" si="0"/>
        <v>8.8999999999999996E-2</v>
      </c>
      <c r="G9" s="10">
        <f t="shared" si="1"/>
        <v>14967155</v>
      </c>
      <c r="J9" s="27"/>
      <c r="K9" s="28"/>
      <c r="L9" s="28"/>
      <c r="M9" s="28"/>
    </row>
    <row r="10" spans="2:13">
      <c r="B10" s="23" t="s">
        <v>214</v>
      </c>
      <c r="C10" s="8">
        <f>+'[2]N30 Segmentos'!$C$14+'[2]N30 Segmentos'!$C$13</f>
        <v>-2849513</v>
      </c>
      <c r="D10" s="8">
        <f>+'[2]N30 Segmentos'!$E$14</f>
        <v>1316088</v>
      </c>
      <c r="E10" s="9" t="s">
        <v>238</v>
      </c>
      <c r="F10" s="20"/>
      <c r="G10" s="8">
        <f t="shared" si="1"/>
        <v>-4165601</v>
      </c>
      <c r="J10" s="24"/>
      <c r="K10" s="25"/>
      <c r="L10" s="25"/>
      <c r="M10" s="25"/>
    </row>
    <row r="11" spans="2:13">
      <c r="B11" s="23" t="s">
        <v>210</v>
      </c>
      <c r="C11" s="8">
        <f>+'[2]N30 Segmentos'!$C$18+'[2]N30 Segmentos'!$C$15+'[2]N30 Segmentos'!$C$16</f>
        <v>-65591308</v>
      </c>
      <c r="D11" s="8">
        <f>+'[2]N30 Segmentos'!$E$18+'[2]N30 Segmentos'!$E$15+'[2]N30 Segmentos'!$E$16</f>
        <v>-60626237</v>
      </c>
      <c r="E11" s="9">
        <f t="shared" si="0"/>
        <v>8.2000000000000003E-2</v>
      </c>
      <c r="G11" s="8">
        <f t="shared" si="1"/>
        <v>-4965071</v>
      </c>
      <c r="J11" s="24"/>
      <c r="K11" s="25"/>
      <c r="L11" s="25"/>
      <c r="M11" s="25"/>
    </row>
    <row r="12" spans="2:13">
      <c r="B12" s="23" t="s">
        <v>186</v>
      </c>
      <c r="C12" s="8">
        <f>+'[2]N30 Segmentos'!$C$20</f>
        <v>-22418768</v>
      </c>
      <c r="D12" s="8">
        <f>+'[2]N30 Segmentos'!$E$20</f>
        <v>-22937804</v>
      </c>
      <c r="E12" s="9">
        <f t="shared" si="0"/>
        <v>-2.3E-2</v>
      </c>
      <c r="G12" s="8">
        <f t="shared" si="1"/>
        <v>519036</v>
      </c>
      <c r="J12" s="24"/>
      <c r="K12" s="25"/>
      <c r="L12" s="25"/>
      <c r="M12" s="25"/>
    </row>
    <row r="13" spans="2:13">
      <c r="B13" s="23" t="s">
        <v>267</v>
      </c>
      <c r="C13" s="8">
        <f>-'[2]N30 Segmentos'!$C$23</f>
        <v>-1589</v>
      </c>
      <c r="D13" s="8">
        <f>-'[2]N30 Segmentos'!$E$23</f>
        <v>-1443</v>
      </c>
      <c r="E13" s="9">
        <f t="shared" si="0"/>
        <v>0.10100000000000001</v>
      </c>
      <c r="G13" s="8">
        <f t="shared" si="1"/>
        <v>-146</v>
      </c>
      <c r="J13" s="24"/>
      <c r="K13" s="25"/>
      <c r="L13" s="25"/>
      <c r="M13" s="25"/>
    </row>
    <row r="14" spans="2:13" s="12" customFormat="1">
      <c r="B14" s="51" t="s">
        <v>211</v>
      </c>
      <c r="C14" s="398">
        <f>SUM(C9:C13)</f>
        <v>93043095</v>
      </c>
      <c r="D14" s="301">
        <f>SUM(D9:D13)</f>
        <v>86687722</v>
      </c>
      <c r="E14" s="11">
        <f t="shared" si="0"/>
        <v>7.2999999999999995E-2</v>
      </c>
      <c r="G14" s="10">
        <f t="shared" si="1"/>
        <v>6355373</v>
      </c>
      <c r="J14" s="27"/>
      <c r="K14" s="28"/>
      <c r="L14" s="28"/>
      <c r="M14" s="28"/>
    </row>
    <row r="15" spans="2:13">
      <c r="C15" s="252">
        <f>+C14-'[2]N30 Segmentos'!$C$22</f>
        <v>0</v>
      </c>
      <c r="D15" s="252">
        <f>+D14-'[2]N30 Segmentos'!$E$22</f>
        <v>0</v>
      </c>
      <c r="J15" s="24"/>
      <c r="M15" s="25"/>
    </row>
    <row r="16" spans="2:13">
      <c r="C16" s="25"/>
      <c r="D16" s="25"/>
      <c r="J16" s="24"/>
    </row>
    <row r="17" spans="2:10">
      <c r="B17" s="12" t="s">
        <v>205</v>
      </c>
      <c r="J17" s="24"/>
    </row>
    <row r="18" spans="2:10">
      <c r="J18" s="24"/>
    </row>
    <row r="19" spans="2:10" ht="14.4" thickBot="1">
      <c r="B19" s="50" t="s">
        <v>192</v>
      </c>
      <c r="C19" s="6" t="str">
        <f>+C3</f>
        <v>Sep.25</v>
      </c>
      <c r="D19" s="6" t="str">
        <f>+D3</f>
        <v>Sep.24</v>
      </c>
      <c r="E19" s="6" t="s">
        <v>164</v>
      </c>
      <c r="G19" s="6" t="str">
        <f>+G3</f>
        <v>2025 / 2024</v>
      </c>
    </row>
    <row r="20" spans="2:10">
      <c r="B20" s="23" t="s">
        <v>212</v>
      </c>
      <c r="C20" s="8">
        <f>+ROUND('[2]N30 Segmentos'!$D$6,0)</f>
        <v>33891598</v>
      </c>
      <c r="D20" s="8">
        <f>+ROUND('[2]N30 Segmentos'!$F$6,0)</f>
        <v>30020351</v>
      </c>
      <c r="E20" s="9">
        <f t="shared" ref="E20:E29" si="2">ROUND(+G20/D20,3)</f>
        <v>0.129</v>
      </c>
      <c r="G20" s="8">
        <f>+C20-D20</f>
        <v>3871247</v>
      </c>
    </row>
    <row r="21" spans="2:10">
      <c r="B21" s="23" t="s">
        <v>213</v>
      </c>
      <c r="C21" s="8">
        <f>+ROUND('[2]N30 Segmentos'!$D$7,0)</f>
        <v>9709980</v>
      </c>
      <c r="D21" s="8">
        <f>+ROUND('[2]N30 Segmentos'!$F$7,0)</f>
        <v>9839174</v>
      </c>
      <c r="E21" s="9">
        <f t="shared" si="2"/>
        <v>-1.2999999999999999E-2</v>
      </c>
      <c r="G21" s="8">
        <f t="shared" ref="G21:G29" si="3">+C21-D21</f>
        <v>-129194</v>
      </c>
    </row>
    <row r="22" spans="2:10">
      <c r="B22" s="23" t="s">
        <v>207</v>
      </c>
      <c r="C22" s="8">
        <f>+ROUND('[2]N30 Segmentos'!$D$9+'[2]N30 Segmentos'!$D$10+'[2]N30 Segmentos'!$D$11+'[2]N30 Segmentos'!$D$13+'[2]N30 Segmentos'!$D$17,0)</f>
        <v>-35995457</v>
      </c>
      <c r="D22" s="8">
        <f>+ROUND('[2]N30 Segmentos'!$F$9+'[2]N30 Segmentos'!$F$10+'[2]N30 Segmentos'!$F$11+'[2]N30 Segmentos'!$F$13+'[2]N30 Segmentos'!$F$17,0)</f>
        <v>-32474693</v>
      </c>
      <c r="E22" s="9">
        <f t="shared" si="2"/>
        <v>0.108</v>
      </c>
      <c r="G22" s="8">
        <f t="shared" si="3"/>
        <v>-3520764</v>
      </c>
    </row>
    <row r="23" spans="2:10">
      <c r="B23" s="51" t="s">
        <v>167</v>
      </c>
      <c r="C23" s="10">
        <f>+SUM(C20:C22)</f>
        <v>7606121</v>
      </c>
      <c r="D23" s="10">
        <f>+SUM(D20:D22)</f>
        <v>7384832</v>
      </c>
      <c r="E23" s="11">
        <f t="shared" si="2"/>
        <v>0.03</v>
      </c>
      <c r="F23" s="12"/>
      <c r="G23" s="10">
        <f t="shared" si="3"/>
        <v>221289</v>
      </c>
    </row>
    <row r="24" spans="2:10">
      <c r="B24" s="23" t="s">
        <v>58</v>
      </c>
      <c r="C24" s="8">
        <f>+'[2]N30 Segmentos'!$D$12</f>
        <v>-1992783</v>
      </c>
      <c r="D24" s="8">
        <f>+'[2]N30 Segmentos'!$F$12</f>
        <v>-1814289</v>
      </c>
      <c r="E24" s="9">
        <f t="shared" si="2"/>
        <v>9.8000000000000004E-2</v>
      </c>
      <c r="G24" s="8">
        <f t="shared" si="3"/>
        <v>-178494</v>
      </c>
    </row>
    <row r="25" spans="2:10">
      <c r="B25" s="51" t="s">
        <v>208</v>
      </c>
      <c r="C25" s="10">
        <f>+C23+C24</f>
        <v>5613338</v>
      </c>
      <c r="D25" s="10">
        <f>+D23+D24</f>
        <v>5570543</v>
      </c>
      <c r="E25" s="11">
        <f t="shared" si="2"/>
        <v>8.0000000000000002E-3</v>
      </c>
      <c r="F25" s="12"/>
      <c r="G25" s="10">
        <f t="shared" si="3"/>
        <v>42795</v>
      </c>
    </row>
    <row r="26" spans="2:10">
      <c r="B26" s="23" t="s">
        <v>214</v>
      </c>
      <c r="C26" s="8">
        <f>+'[2]N30 Segmentos'!$D$14</f>
        <v>-97015</v>
      </c>
      <c r="D26" s="8">
        <f>+'[2]N30 Segmentos'!$F$14</f>
        <v>648888</v>
      </c>
      <c r="E26" s="9">
        <f t="shared" si="2"/>
        <v>-1.1499999999999999</v>
      </c>
      <c r="G26" s="8">
        <f t="shared" si="3"/>
        <v>-745903</v>
      </c>
    </row>
    <row r="27" spans="2:10">
      <c r="B27" s="23" t="s">
        <v>210</v>
      </c>
      <c r="C27" s="8">
        <f>+'[2]N30 Segmentos'!$D$18+'[2]N30 Segmentos'!$D$15+'[2]N30 Segmentos'!$D$16</f>
        <v>-64689</v>
      </c>
      <c r="D27" s="8">
        <f>+'[2]N30 Segmentos'!$F$18+'[2]N30 Segmentos'!$F$15+'[2]N30 Segmentos'!$F$16</f>
        <v>-113916</v>
      </c>
      <c r="E27" s="9">
        <f t="shared" si="2"/>
        <v>-0.432</v>
      </c>
      <c r="G27" s="8">
        <f t="shared" si="3"/>
        <v>49227</v>
      </c>
    </row>
    <row r="28" spans="2:10">
      <c r="B28" s="23" t="s">
        <v>186</v>
      </c>
      <c r="C28" s="8">
        <f>+'[2]N30 Segmentos'!$D$20</f>
        <v>-1189764</v>
      </c>
      <c r="D28" s="8">
        <f>+'[2]N30 Segmentos'!$F$20</f>
        <v>-1391121</v>
      </c>
      <c r="E28" s="9">
        <f t="shared" si="2"/>
        <v>-0.14499999999999999</v>
      </c>
      <c r="G28" s="8">
        <f t="shared" si="3"/>
        <v>201357</v>
      </c>
    </row>
    <row r="29" spans="2:10">
      <c r="B29" s="51" t="s">
        <v>211</v>
      </c>
      <c r="C29" s="301">
        <f>SUM(C25:C28)</f>
        <v>4261870</v>
      </c>
      <c r="D29" s="301">
        <f>SUM(D25:D28)</f>
        <v>4714394</v>
      </c>
      <c r="E29" s="11">
        <f t="shared" si="2"/>
        <v>-9.6000000000000002E-2</v>
      </c>
      <c r="F29" s="12"/>
      <c r="G29" s="10">
        <f t="shared" si="3"/>
        <v>-452524</v>
      </c>
    </row>
    <row r="30" spans="2:10">
      <c r="C30" s="252">
        <f>+C29-'[2]N30 Segmentos'!$D$22</f>
        <v>0</v>
      </c>
      <c r="D30" s="252">
        <f>+D29-'[2]N30 Segmentos'!$F$22</f>
        <v>0</v>
      </c>
    </row>
    <row r="31" spans="2:10">
      <c r="C31" s="314"/>
    </row>
    <row r="32" spans="2:10">
      <c r="B32" s="23" t="s">
        <v>276</v>
      </c>
    </row>
    <row r="33" spans="2:4">
      <c r="B33" s="23" t="s">
        <v>206</v>
      </c>
      <c r="C33" s="25">
        <f>+C4+C20-Results!C4</f>
        <v>0</v>
      </c>
      <c r="D33" s="25"/>
    </row>
    <row r="34" spans="2:4">
      <c r="B34" s="23" t="s">
        <v>207</v>
      </c>
      <c r="C34" s="25">
        <f>+C6+C22+C5+C21-Results!C5</f>
        <v>0</v>
      </c>
      <c r="D34" s="25"/>
    </row>
    <row r="35" spans="2:4">
      <c r="B35" s="23" t="s">
        <v>277</v>
      </c>
      <c r="C35" s="314">
        <f>+C7+C23-Results!C6</f>
        <v>0</v>
      </c>
      <c r="D35" s="314"/>
    </row>
    <row r="36" spans="2:4">
      <c r="B36" s="23" t="s">
        <v>58</v>
      </c>
      <c r="C36" s="25">
        <f>+C8+C24-Results!C7</f>
        <v>0</v>
      </c>
      <c r="D36" s="25"/>
    </row>
    <row r="37" spans="2:4">
      <c r="B37" s="23" t="s">
        <v>208</v>
      </c>
      <c r="C37" s="25">
        <f>+C9+C25-Results!C8</f>
        <v>0</v>
      </c>
      <c r="D37" s="25"/>
    </row>
    <row r="38" spans="2:4">
      <c r="B38" s="23" t="s">
        <v>209</v>
      </c>
      <c r="C38" s="25">
        <f>+C10+C26-Results!C9</f>
        <v>0</v>
      </c>
      <c r="D38" s="25"/>
    </row>
    <row r="39" spans="2:4">
      <c r="B39" s="23" t="s">
        <v>241</v>
      </c>
      <c r="C39" s="25">
        <v>0</v>
      </c>
      <c r="D39" s="25"/>
    </row>
    <row r="40" spans="2:4">
      <c r="B40" s="23" t="s">
        <v>210</v>
      </c>
      <c r="C40" s="25">
        <f>+C11+C27-Results!C11</f>
        <v>0</v>
      </c>
      <c r="D40" s="25"/>
    </row>
    <row r="41" spans="2:4">
      <c r="B41" s="23" t="s">
        <v>186</v>
      </c>
      <c r="C41" s="25">
        <f>+C12+C28-Results!C12</f>
        <v>0</v>
      </c>
      <c r="D41" s="25"/>
    </row>
    <row r="42" spans="2:4">
      <c r="B42" s="23" t="s">
        <v>268</v>
      </c>
      <c r="C42" s="25">
        <f>+C13-Results!C13</f>
        <v>0</v>
      </c>
      <c r="D42" s="25"/>
    </row>
    <row r="43" spans="2:4">
      <c r="B43" s="23" t="s">
        <v>211</v>
      </c>
      <c r="C43" s="314">
        <f>+C14+C29-Results!C14</f>
        <v>0</v>
      </c>
      <c r="D43" s="314"/>
    </row>
    <row r="44" spans="2:4">
      <c r="B44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>
    <tabColor rgb="FF00B050"/>
  </sheetPr>
  <dimension ref="A1:N39"/>
  <sheetViews>
    <sheetView showGridLines="0" workbookViewId="0">
      <selection activeCell="C9" sqref="C9"/>
    </sheetView>
  </sheetViews>
  <sheetFormatPr baseColWidth="10" defaultColWidth="11.44140625" defaultRowHeight="13.8"/>
  <cols>
    <col min="1" max="1" width="4" style="30" customWidth="1"/>
    <col min="2" max="2" width="25.44140625" style="30" bestFit="1" customWidth="1"/>
    <col min="3" max="16384" width="11.44140625" style="30"/>
  </cols>
  <sheetData>
    <row r="1" spans="1:14" ht="15" customHeight="1">
      <c r="A1" s="29" t="s">
        <v>174</v>
      </c>
    </row>
    <row r="3" spans="1:14" ht="14.4" thickBot="1">
      <c r="B3" s="2" t="s">
        <v>192</v>
      </c>
      <c r="C3" s="331" t="s">
        <v>308</v>
      </c>
      <c r="D3" s="331" t="s">
        <v>309</v>
      </c>
      <c r="E3" s="331" t="s">
        <v>164</v>
      </c>
      <c r="F3" s="7"/>
      <c r="G3" s="331" t="s">
        <v>301</v>
      </c>
    </row>
    <row r="4" spans="1:14" ht="15" customHeight="1">
      <c r="B4" s="4" t="s">
        <v>160</v>
      </c>
      <c r="C4" s="300">
        <f>+Resultado!F5</f>
        <v>158397973</v>
      </c>
      <c r="D4" s="300">
        <f>+Resultado!G5</f>
        <v>143472465</v>
      </c>
      <c r="E4" s="9">
        <f>+ROUND(G4/D4,3)</f>
        <v>0.104</v>
      </c>
      <c r="F4" s="7"/>
      <c r="G4" s="8">
        <f>+C4-D4</f>
        <v>14925508</v>
      </c>
    </row>
    <row r="5" spans="1:14" s="31" customFormat="1" ht="15" customHeight="1">
      <c r="B5" s="4" t="s">
        <v>166</v>
      </c>
      <c r="C5" s="300">
        <f>+Resultado!F6+Resultado!F7+Resultado!F10+Resultado!F9</f>
        <v>-91017933</v>
      </c>
      <c r="D5" s="300">
        <f>+Resultado!G6+Resultado!G7+Resultado!G10+Resultado!G9</f>
        <v>-84583869</v>
      </c>
      <c r="E5" s="9">
        <f t="shared" ref="E5:E14" si="0">+ROUND(G5/D5,3)</f>
        <v>7.5999999999999998E-2</v>
      </c>
      <c r="F5" s="7"/>
      <c r="G5" s="8">
        <f t="shared" ref="G5:G14" si="1">+C5-D5</f>
        <v>-6434064</v>
      </c>
    </row>
    <row r="6" spans="1:14" s="31" customFormat="1" ht="15" customHeight="1">
      <c r="B6" s="5" t="s">
        <v>167</v>
      </c>
      <c r="C6" s="317">
        <f>SUM(C4:C5)</f>
        <v>67380040</v>
      </c>
      <c r="D6" s="317">
        <f>SUM(D4:D5)</f>
        <v>58888596</v>
      </c>
      <c r="E6" s="11">
        <f t="shared" si="0"/>
        <v>0.14399999999999999</v>
      </c>
      <c r="F6" s="12"/>
      <c r="G6" s="10">
        <f t="shared" si="1"/>
        <v>8491444</v>
      </c>
    </row>
    <row r="7" spans="1:14" s="31" customFormat="1" ht="15" customHeight="1">
      <c r="B7" s="4" t="s">
        <v>168</v>
      </c>
      <c r="C7" s="300">
        <f>+Resultado!F8</f>
        <v>-22455135</v>
      </c>
      <c r="D7" s="300">
        <f>+Resultado!G8</f>
        <v>-20220051</v>
      </c>
      <c r="E7" s="9">
        <f t="shared" si="0"/>
        <v>0.111</v>
      </c>
      <c r="F7" s="7"/>
      <c r="G7" s="8">
        <f t="shared" si="1"/>
        <v>-2235084</v>
      </c>
      <c r="L7" s="22"/>
      <c r="M7" s="22"/>
      <c r="N7" s="32"/>
    </row>
    <row r="8" spans="1:14" s="31" customFormat="1" ht="15" customHeight="1">
      <c r="B8" s="5" t="s">
        <v>169</v>
      </c>
      <c r="C8" s="317">
        <f>+C6+C7</f>
        <v>44924905</v>
      </c>
      <c r="D8" s="317">
        <f>+D6+D7</f>
        <v>38668545</v>
      </c>
      <c r="E8" s="11">
        <f t="shared" si="0"/>
        <v>0.16200000000000001</v>
      </c>
      <c r="F8" s="12"/>
      <c r="G8" s="10">
        <f t="shared" si="1"/>
        <v>6256360</v>
      </c>
    </row>
    <row r="9" spans="1:14" s="31" customFormat="1" ht="15" customHeight="1">
      <c r="B9" s="4" t="s">
        <v>222</v>
      </c>
      <c r="C9" s="300">
        <f>+Resultado!F11</f>
        <v>-1356443</v>
      </c>
      <c r="D9" s="300">
        <f>+Resultado!G11</f>
        <v>-381530</v>
      </c>
      <c r="E9" s="9">
        <f t="shared" si="0"/>
        <v>2.5550000000000002</v>
      </c>
      <c r="F9" s="52"/>
      <c r="G9" s="8">
        <f t="shared" si="1"/>
        <v>-974913</v>
      </c>
    </row>
    <row r="10" spans="1:14" s="31" customFormat="1" ht="15" customHeight="1">
      <c r="B10" s="4" t="s">
        <v>240</v>
      </c>
      <c r="C10" s="300">
        <v>0</v>
      </c>
      <c r="D10" s="300">
        <v>0</v>
      </c>
      <c r="E10" s="9">
        <v>0</v>
      </c>
      <c r="F10" s="52"/>
      <c r="G10" s="8">
        <f t="shared" si="1"/>
        <v>0</v>
      </c>
    </row>
    <row r="11" spans="1:14" s="31" customFormat="1" ht="15" customHeight="1">
      <c r="B11" s="4" t="s">
        <v>170</v>
      </c>
      <c r="C11" s="300">
        <f>+Resultado!F13+Resultado!F14+Resultado!F16+Resultado!F17</f>
        <v>-16339294</v>
      </c>
      <c r="D11" s="300">
        <f>+Resultado!G13+Resultado!G14+Resultado!G16+Resultado!G17</f>
        <v>-20775596</v>
      </c>
      <c r="E11" s="9">
        <f t="shared" si="0"/>
        <v>-0.214</v>
      </c>
      <c r="F11" s="7"/>
      <c r="G11" s="8">
        <f t="shared" si="1"/>
        <v>4436302</v>
      </c>
    </row>
    <row r="12" spans="1:14" s="31" customFormat="1" ht="15" customHeight="1">
      <c r="B12" s="4" t="s">
        <v>186</v>
      </c>
      <c r="C12" s="300">
        <f>Resultado!F20</f>
        <v>-5691726</v>
      </c>
      <c r="D12" s="399">
        <f>Resultado!G20</f>
        <v>-2616166</v>
      </c>
      <c r="E12" s="9">
        <f t="shared" si="0"/>
        <v>1.1759999999999999</v>
      </c>
      <c r="F12" s="7"/>
      <c r="G12" s="8">
        <f t="shared" si="1"/>
        <v>-3075560</v>
      </c>
    </row>
    <row r="13" spans="1:14" s="31" customFormat="1" ht="15" customHeight="1">
      <c r="B13" s="4" t="s">
        <v>272</v>
      </c>
      <c r="C13" s="300">
        <f>-Resultado!F27</f>
        <v>-303</v>
      </c>
      <c r="D13" s="399">
        <f>-Resultado!G27</f>
        <v>-215</v>
      </c>
      <c r="E13" s="9">
        <f t="shared" si="0"/>
        <v>0.40899999999999997</v>
      </c>
      <c r="F13" s="7"/>
      <c r="G13" s="8">
        <f t="shared" si="1"/>
        <v>-88</v>
      </c>
    </row>
    <row r="14" spans="1:14" s="31" customFormat="1" ht="15" customHeight="1">
      <c r="B14" s="5" t="s">
        <v>171</v>
      </c>
      <c r="C14" s="301">
        <f>+SUM(C8:C13)</f>
        <v>21537139</v>
      </c>
      <c r="D14" s="398">
        <f>+SUM(D8:D13)</f>
        <v>14895038</v>
      </c>
      <c r="E14" s="11">
        <f t="shared" si="0"/>
        <v>0.44600000000000001</v>
      </c>
      <c r="F14" s="12"/>
      <c r="G14" s="10">
        <f t="shared" si="1"/>
        <v>6642101</v>
      </c>
    </row>
    <row r="15" spans="1:14" s="31" customFormat="1" ht="15" customHeight="1">
      <c r="C15" s="301">
        <f>+C14-Resultado!F26</f>
        <v>0</v>
      </c>
      <c r="D15" s="301">
        <f>+D14-Resultado!G26</f>
        <v>0</v>
      </c>
    </row>
    <row r="16" spans="1:14" s="31" customFormat="1" ht="15" customHeight="1"/>
    <row r="17" s="31" customFormat="1" ht="15" customHeight="1"/>
    <row r="18" s="31" customFormat="1" ht="15" customHeight="1"/>
    <row r="19" s="31" customFormat="1" ht="15" customHeight="1"/>
    <row r="20" s="31" customFormat="1" ht="15" customHeight="1"/>
    <row r="21" s="31" customFormat="1" ht="15" customHeight="1"/>
    <row r="22" s="31" customFormat="1" ht="15" customHeight="1"/>
    <row r="23" s="31" customFormat="1" ht="15" customHeight="1"/>
    <row r="24" s="31" customFormat="1" ht="15" customHeight="1"/>
    <row r="25" s="31" customFormat="1" ht="15" customHeight="1"/>
    <row r="26" s="31" customFormat="1" ht="15" customHeight="1"/>
    <row r="27" s="31" customFormat="1" ht="15" customHeight="1"/>
    <row r="28" s="31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4"/>
  <sheetViews>
    <sheetView showGridLines="0" topLeftCell="A17" zoomScale="140" zoomScaleNormal="140" workbookViewId="0">
      <selection activeCell="C16" sqref="C16"/>
    </sheetView>
  </sheetViews>
  <sheetFormatPr baseColWidth="10" defaultColWidth="0" defaultRowHeight="15" customHeight="1" zeroHeight="1"/>
  <cols>
    <col min="1" max="1" width="3.5546875" style="7" customWidth="1"/>
    <col min="2" max="2" width="50.77734375" style="7" customWidth="1"/>
    <col min="3" max="4" width="15.5546875" style="7" customWidth="1"/>
    <col min="5" max="5" width="10.5546875" style="7" customWidth="1"/>
    <col min="6" max="6" width="11.44140625" style="7" customWidth="1"/>
    <col min="7" max="12" width="0" style="7" hidden="1" customWidth="1"/>
    <col min="13" max="16384" width="11.44140625" style="7" hidden="1"/>
  </cols>
  <sheetData>
    <row r="1" spans="2:5" ht="15" customHeight="1"/>
    <row r="2" spans="2:5" ht="15" customHeight="1">
      <c r="B2" s="14"/>
      <c r="C2" s="14"/>
      <c r="D2" s="14"/>
      <c r="E2" s="14"/>
    </row>
    <row r="3" spans="2:5" ht="15" customHeight="1" thickBot="1">
      <c r="B3" s="17" t="s">
        <v>165</v>
      </c>
      <c r="C3" s="6" t="s">
        <v>306</v>
      </c>
      <c r="D3" s="6" t="s">
        <v>382</v>
      </c>
      <c r="E3" s="17" t="s">
        <v>164</v>
      </c>
    </row>
    <row r="4" spans="2:5" ht="12.75" customHeight="1">
      <c r="B4" s="4" t="s">
        <v>371</v>
      </c>
      <c r="C4" s="313">
        <f>ROUND(Balance!D15,0)</f>
        <v>355174826</v>
      </c>
      <c r="D4" s="313">
        <f>ROUND(Balance!E15,0)</f>
        <v>288702263</v>
      </c>
      <c r="E4" s="341">
        <f>ROUND((C4/D4)-1,3)</f>
        <v>0.23</v>
      </c>
    </row>
    <row r="5" spans="2:5" ht="12.75" customHeight="1">
      <c r="B5" s="4" t="s">
        <v>372</v>
      </c>
      <c r="C5" s="313">
        <f>ROUND(Balance!D26,0)</f>
        <v>2796138804</v>
      </c>
      <c r="D5" s="313">
        <f>ROUND(Balance!E26,0)</f>
        <v>2729457072</v>
      </c>
      <c r="E5" s="341">
        <f>ROUND((C5/D5)-1,3)</f>
        <v>2.4E-2</v>
      </c>
    </row>
    <row r="6" spans="2:5" ht="12.75" customHeight="1">
      <c r="B6" s="5" t="s">
        <v>373</v>
      </c>
      <c r="C6" s="400">
        <f>SUM(C4:C5)</f>
        <v>3151313630</v>
      </c>
      <c r="D6" s="400">
        <f>SUM(D4:D5)</f>
        <v>3018159335</v>
      </c>
      <c r="E6" s="401">
        <f>ROUND((C6/D6)-1,3)</f>
        <v>4.3999999999999997E-2</v>
      </c>
    </row>
    <row r="7" spans="2:5" ht="12.75" customHeight="1">
      <c r="B7" s="17" t="s">
        <v>374</v>
      </c>
      <c r="C7" s="339"/>
      <c r="D7" s="339"/>
      <c r="E7" s="340"/>
    </row>
    <row r="8" spans="2:5" ht="12.75" customHeight="1">
      <c r="B8" s="4" t="s">
        <v>376</v>
      </c>
      <c r="C8" s="313">
        <f>ROUND(+Balance!D42,0)</f>
        <v>259732394</v>
      </c>
      <c r="D8" s="313">
        <f>ROUND(+Balance!E42,0)</f>
        <v>351513489</v>
      </c>
      <c r="E8" s="341">
        <f>ROUND((C8/D8)-1,3)</f>
        <v>-0.26100000000000001</v>
      </c>
    </row>
    <row r="9" spans="2:5" ht="12.75" customHeight="1">
      <c r="B9" s="4" t="s">
        <v>377</v>
      </c>
      <c r="C9" s="313">
        <f>ROUND(+Balance!D54,0)</f>
        <v>1555451780</v>
      </c>
      <c r="D9" s="313">
        <f>ROUND(+Balance!E54,0)</f>
        <v>1374530378</v>
      </c>
      <c r="E9" s="341">
        <f>ROUND((C9/D9)-1,3)</f>
        <v>0.13200000000000001</v>
      </c>
    </row>
    <row r="10" spans="2:5" ht="12.75" customHeight="1">
      <c r="B10" s="5" t="s">
        <v>378</v>
      </c>
      <c r="C10" s="400">
        <f>SUM(C8:C9)</f>
        <v>1815184174</v>
      </c>
      <c r="D10" s="400">
        <f>SUM(D8:D9)</f>
        <v>1726043867</v>
      </c>
      <c r="E10" s="401">
        <f>ROUND((C10/D10)-1,3)</f>
        <v>5.1999999999999998E-2</v>
      </c>
    </row>
    <row r="11" spans="2:5" ht="12.75" customHeight="1">
      <c r="B11" s="14"/>
      <c r="C11" s="339"/>
      <c r="D11" s="339"/>
      <c r="E11" s="340"/>
    </row>
    <row r="12" spans="2:5" ht="12.75" customHeight="1">
      <c r="B12" s="4" t="s">
        <v>379</v>
      </c>
      <c r="C12" s="313">
        <f>ROUND(+Balance!D63,0)</f>
        <v>1336079457</v>
      </c>
      <c r="D12" s="313">
        <f>ROUND(+Balance!E63,0)</f>
        <v>1292066950</v>
      </c>
      <c r="E12" s="341">
        <f>ROUND((C12/D12)-1,3)</f>
        <v>3.4000000000000002E-2</v>
      </c>
    </row>
    <row r="13" spans="2:5" ht="12.75" customHeight="1">
      <c r="B13" s="4" t="s">
        <v>380</v>
      </c>
      <c r="C13" s="313">
        <f>ROUND(+Balance!D64,0)</f>
        <v>49999</v>
      </c>
      <c r="D13" s="313">
        <f>ROUND(+Balance!E64,0)</f>
        <v>48518</v>
      </c>
      <c r="E13" s="341">
        <f>ROUND((C13/D13)-1,3)</f>
        <v>3.1E-2</v>
      </c>
    </row>
    <row r="14" spans="2:5" ht="12.75" customHeight="1">
      <c r="B14" s="5" t="s">
        <v>381</v>
      </c>
      <c r="C14" s="400">
        <f>+C13+C12</f>
        <v>1336129456</v>
      </c>
      <c r="D14" s="400">
        <f>+D13+D12</f>
        <v>1292115468</v>
      </c>
      <c r="E14" s="401">
        <f t="shared" ref="E14:E15" si="0">ROUND((C14/D14)-1,3)</f>
        <v>3.4000000000000002E-2</v>
      </c>
    </row>
    <row r="15" spans="2:5" ht="12.75" customHeight="1">
      <c r="B15" s="5" t="s">
        <v>375</v>
      </c>
      <c r="C15" s="400">
        <f>+C14+C10</f>
        <v>3151313630</v>
      </c>
      <c r="D15" s="400">
        <f>+D14+D10</f>
        <v>3018159335</v>
      </c>
      <c r="E15" s="401">
        <f t="shared" si="0"/>
        <v>4.3999999999999997E-2</v>
      </c>
    </row>
    <row r="16" spans="2:5" ht="15" customHeight="1">
      <c r="B16" s="14"/>
      <c r="C16" s="14"/>
      <c r="D16" s="14"/>
      <c r="E16" s="14"/>
    </row>
    <row r="17" spans="2:4" ht="15" customHeight="1">
      <c r="C17" s="306"/>
      <c r="D17" s="306"/>
    </row>
    <row r="18" spans="2:4" ht="15" customHeight="1"/>
    <row r="19" spans="2:4" ht="15" customHeight="1">
      <c r="B19" s="343"/>
      <c r="C19" s="343"/>
      <c r="D19" s="343"/>
    </row>
    <row r="20" spans="2:4" ht="15" customHeight="1" thickBot="1">
      <c r="B20" s="432" t="s">
        <v>390</v>
      </c>
      <c r="C20" s="433" t="s">
        <v>306</v>
      </c>
    </row>
    <row r="21" spans="2:4" ht="15" customHeight="1">
      <c r="B21" s="23" t="s">
        <v>341</v>
      </c>
      <c r="C21" s="18">
        <v>26324737</v>
      </c>
    </row>
    <row r="22" spans="2:4" ht="15" customHeight="1">
      <c r="B22" s="23" t="s">
        <v>342</v>
      </c>
      <c r="C22" s="18">
        <v>22471447</v>
      </c>
    </row>
    <row r="23" spans="2:4" ht="15" customHeight="1">
      <c r="B23" s="23" t="s">
        <v>343</v>
      </c>
      <c r="C23" s="18">
        <v>16876080</v>
      </c>
    </row>
    <row r="24" spans="2:4" ht="15" customHeight="1">
      <c r="B24" s="23" t="s">
        <v>344</v>
      </c>
      <c r="C24" s="18">
        <v>10581116</v>
      </c>
    </row>
    <row r="25" spans="2:4" ht="15" customHeight="1">
      <c r="B25" s="23" t="s">
        <v>345</v>
      </c>
      <c r="C25" s="18">
        <v>9393102</v>
      </c>
    </row>
    <row r="26" spans="2:4" ht="15" customHeight="1">
      <c r="B26" s="23" t="s">
        <v>340</v>
      </c>
      <c r="C26" s="18">
        <v>8421523</v>
      </c>
    </row>
    <row r="27" spans="2:4" ht="15" customHeight="1">
      <c r="B27" s="23" t="s">
        <v>346</v>
      </c>
      <c r="C27" s="18">
        <v>8235421</v>
      </c>
    </row>
    <row r="28" spans="2:4" ht="15" customHeight="1">
      <c r="B28" s="23" t="s">
        <v>347</v>
      </c>
      <c r="C28" s="18">
        <v>3869785</v>
      </c>
    </row>
    <row r="29" spans="2:4" ht="15" customHeight="1">
      <c r="B29" s="23" t="s">
        <v>348</v>
      </c>
      <c r="C29" s="18">
        <v>3304117</v>
      </c>
    </row>
    <row r="30" spans="2:4" ht="15" customHeight="1">
      <c r="B30" s="23" t="s">
        <v>349</v>
      </c>
      <c r="C30" s="18">
        <v>2830378</v>
      </c>
    </row>
    <row r="31" spans="2:4" ht="15" customHeight="1">
      <c r="B31" s="23" t="s">
        <v>350</v>
      </c>
      <c r="C31" s="18">
        <v>2195045</v>
      </c>
    </row>
    <row r="32" spans="2:4" ht="15" customHeight="1">
      <c r="B32" s="23" t="s">
        <v>351</v>
      </c>
      <c r="C32" s="18">
        <v>1783721</v>
      </c>
    </row>
    <row r="33" spans="2:3" ht="15" customHeight="1">
      <c r="B33" s="23" t="s">
        <v>352</v>
      </c>
      <c r="C33" s="18">
        <v>1610063</v>
      </c>
    </row>
    <row r="34" spans="2:3" ht="15" customHeight="1"/>
  </sheetData>
  <phoneticPr fontId="6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2"/>
  <sheetViews>
    <sheetView showGridLines="0" zoomScaleNormal="100" workbookViewId="0">
      <selection activeCell="L12" sqref="L12"/>
    </sheetView>
  </sheetViews>
  <sheetFormatPr baseColWidth="10" defaultColWidth="0" defaultRowHeight="15" customHeight="1" zeroHeight="1"/>
  <cols>
    <col min="1" max="1" width="26.44140625" style="7" bestFit="1" customWidth="1"/>
    <col min="2" max="2" width="24.5546875" style="7" bestFit="1" customWidth="1"/>
    <col min="3" max="3" width="9.44140625" style="7" customWidth="1"/>
    <col min="4" max="4" width="14" style="7" bestFit="1" customWidth="1"/>
    <col min="5" max="7" width="10.5546875" style="7" customWidth="1"/>
    <col min="8" max="8" width="12.44140625" style="7" customWidth="1"/>
    <col min="9" max="9" width="11.44140625" style="7" customWidth="1"/>
    <col min="10" max="10" width="14.5546875" style="7" customWidth="1"/>
    <col min="11" max="11" width="11.44140625" style="7" customWidth="1"/>
    <col min="12" max="12" width="30.44140625" style="7" bestFit="1" customWidth="1"/>
    <col min="13" max="16384" width="11.44140625" style="7" hidden="1"/>
  </cols>
  <sheetData>
    <row r="1" spans="1:12" ht="15" customHeight="1">
      <c r="E1" s="33"/>
      <c r="F1" s="33"/>
      <c r="G1" s="33"/>
      <c r="H1" s="33"/>
    </row>
    <row r="2" spans="1:12" ht="18.75" customHeight="1" thickBot="1">
      <c r="B2" s="34" t="s">
        <v>353</v>
      </c>
      <c r="C2" s="35" t="s">
        <v>364</v>
      </c>
      <c r="D2" s="35" t="s">
        <v>173</v>
      </c>
      <c r="E2" s="35" t="s">
        <v>365</v>
      </c>
      <c r="F2" s="35" t="s">
        <v>366</v>
      </c>
      <c r="G2" s="35" t="s">
        <v>367</v>
      </c>
      <c r="H2" s="35" t="s">
        <v>368</v>
      </c>
      <c r="J2" s="327" t="s">
        <v>369</v>
      </c>
    </row>
    <row r="3" spans="1:12" ht="15" customHeight="1">
      <c r="A3" s="337"/>
      <c r="B3" s="3" t="s">
        <v>354</v>
      </c>
      <c r="C3" s="36" t="s">
        <v>391</v>
      </c>
      <c r="D3" s="244">
        <v>159377689</v>
      </c>
      <c r="E3" s="245">
        <v>22289248</v>
      </c>
      <c r="F3" s="245">
        <v>41990183</v>
      </c>
      <c r="G3" s="245">
        <v>32260404</v>
      </c>
      <c r="H3" s="245">
        <v>62837854</v>
      </c>
      <c r="J3" s="302">
        <v>159377689</v>
      </c>
      <c r="L3" s="314"/>
    </row>
    <row r="4" spans="1:12" ht="15" customHeight="1">
      <c r="A4" s="337"/>
      <c r="B4" s="4" t="s">
        <v>355</v>
      </c>
      <c r="C4" s="36" t="s">
        <v>61</v>
      </c>
      <c r="D4" s="244">
        <f>SUM(E4:H4)</f>
        <v>1187324383</v>
      </c>
      <c r="E4" s="245">
        <f>+'[1]N17.3 Clases Instrum. Finan.'!$E$28+'[1]N17.3 Clases Instrum. Finan.'!$E$25+'[1]N17.3 Clases Instrum. Finan.'!$E$26+'[1]N17.3 Clases Instrum. Finan.'!$E$27+'[1]N17.3 Clases Instrum. Finan.'!$E$30</f>
        <v>14532382</v>
      </c>
      <c r="F4" s="245">
        <f>+'[1]N17.4 Bonos LP'!$I$23</f>
        <v>0</v>
      </c>
      <c r="G4" s="245">
        <f>+'[1]N17.4 Bonos LP'!$J$23</f>
        <v>120364175</v>
      </c>
      <c r="H4" s="245">
        <f>+'[1]N17.4 Bonos LP'!$K$23+'[1]N17.3 Clases Instrum. Finan.'!$E$51</f>
        <v>1052427826</v>
      </c>
      <c r="J4" s="302">
        <f>+'[1]N17.3 Clases Instrum. Finan.'!$E$25+'[1]N17.3 Clases Instrum. Finan.'!$E$26+'[1]N17.3 Clases Instrum. Finan.'!$E$27+'[1]N17.3 Clases Instrum. Finan.'!$E$28+'[1]N17.3 Clases Instrum. Finan.'!$E$30+'[1]N17.3 Clases Instrum. Finan.'!$E$46+'[1]N17.3 Clases Instrum. Finan.'!$E$47+'[1]N17.3 Clases Instrum. Finan.'!$E$48+'[1]N17.3 Clases Instrum. Finan.'!$E$49+'[1]N17.3 Clases Instrum. Finan.'!$E$51</f>
        <v>1187324383</v>
      </c>
    </row>
    <row r="5" spans="1:12" ht="15" customHeight="1">
      <c r="A5" s="337"/>
      <c r="B5" s="4" t="s">
        <v>356</v>
      </c>
      <c r="C5" s="36" t="s">
        <v>61</v>
      </c>
      <c r="D5" s="244">
        <f>SUM(E5:H5)</f>
        <v>95817095</v>
      </c>
      <c r="E5" s="245">
        <f>+'[1]N17.4 Préstamos CP'!$I$16</f>
        <v>31069309</v>
      </c>
      <c r="F5" s="245">
        <f>+'[1]N17.4 Préstamos LP'!$G$14</f>
        <v>34956000</v>
      </c>
      <c r="G5" s="245">
        <f>+'[1]N17.4 Préstamos LP'!$H$14</f>
        <v>29791786</v>
      </c>
      <c r="H5" s="245">
        <f>+'[1]N17.4 Préstamos LP'!$I$14</f>
        <v>0</v>
      </c>
      <c r="J5" s="302">
        <f>+'[1]N17.3 Clases Instrum. Finan.'!$E$24+'[1]N17.3 Clases Instrum. Finan.'!$E$45</f>
        <v>95817095</v>
      </c>
    </row>
    <row r="6" spans="1:12" ht="13.8" hidden="1">
      <c r="A6" s="337"/>
      <c r="B6" s="4" t="s">
        <v>248</v>
      </c>
      <c r="C6" s="36" t="s">
        <v>61</v>
      </c>
      <c r="D6" s="244">
        <f t="shared" ref="D6" si="0">SUM(E6:H6)</f>
        <v>0</v>
      </c>
      <c r="E6" s="245">
        <v>0</v>
      </c>
      <c r="F6" s="245">
        <v>0</v>
      </c>
      <c r="G6" s="245">
        <v>0</v>
      </c>
      <c r="H6" s="245">
        <v>0</v>
      </c>
      <c r="J6" s="302">
        <v>0</v>
      </c>
    </row>
    <row r="7" spans="1:12" ht="15" customHeight="1">
      <c r="B7" s="5" t="s">
        <v>357</v>
      </c>
      <c r="C7" s="36"/>
      <c r="D7" s="244">
        <f>SUM(D3:D6)</f>
        <v>1442519167</v>
      </c>
      <c r="E7" s="244">
        <f>SUM(E3:E6)</f>
        <v>67890939</v>
      </c>
      <c r="F7" s="244">
        <f t="shared" ref="F7:H7" si="1">SUM(F3:F6)</f>
        <v>76946183</v>
      </c>
      <c r="G7" s="244">
        <f t="shared" si="1"/>
        <v>182416365</v>
      </c>
      <c r="H7" s="244">
        <f t="shared" si="1"/>
        <v>1115265680</v>
      </c>
      <c r="J7" s="302"/>
    </row>
    <row r="8" spans="1:12" ht="15" customHeight="1">
      <c r="A8" s="337"/>
      <c r="B8" s="315" t="s">
        <v>358</v>
      </c>
      <c r="C8" s="316" t="s">
        <v>61</v>
      </c>
      <c r="D8" s="426">
        <f>SUM(E8:H8)</f>
        <v>6551838</v>
      </c>
      <c r="E8" s="427">
        <f>+'[1]N15 Arrendamiento'!$C$36</f>
        <v>2721478</v>
      </c>
      <c r="F8" s="427">
        <f>+'[1]N15 Arrendamiento'!$C$37</f>
        <v>3495227</v>
      </c>
      <c r="G8" s="427">
        <f>+'[1]N15 Arrendamiento'!$C$38</f>
        <v>110181</v>
      </c>
      <c r="H8" s="427">
        <f>+'[1]N15 Arrendamiento'!$C$39</f>
        <v>224952</v>
      </c>
      <c r="J8" s="302">
        <f>+'[1]N17.3 Clases Instrum. Finan.'!$E$32+'[1]N17.3 Clases Instrum. Finan.'!$E$53</f>
        <v>6551838</v>
      </c>
    </row>
    <row r="9" spans="1:12" ht="15" customHeight="1" thickBot="1">
      <c r="A9" s="337"/>
      <c r="B9" s="5" t="s">
        <v>359</v>
      </c>
      <c r="C9" s="37"/>
      <c r="D9" s="428">
        <f>+D8</f>
        <v>6551838</v>
      </c>
      <c r="E9" s="428">
        <f t="shared" ref="E9:H9" si="2">+E8</f>
        <v>2721478</v>
      </c>
      <c r="F9" s="428">
        <f t="shared" si="2"/>
        <v>3495227</v>
      </c>
      <c r="G9" s="428">
        <f t="shared" si="2"/>
        <v>110181</v>
      </c>
      <c r="H9" s="428">
        <f t="shared" si="2"/>
        <v>224952</v>
      </c>
      <c r="J9" s="302"/>
    </row>
    <row r="10" spans="1:12" ht="15" customHeight="1">
      <c r="B10" s="38" t="s">
        <v>370</v>
      </c>
      <c r="C10" s="14"/>
      <c r="D10" s="244">
        <f>+D7+D9</f>
        <v>1449071005</v>
      </c>
      <c r="E10" s="244">
        <f t="shared" ref="E10:H10" si="3">+E7+E9</f>
        <v>70612417</v>
      </c>
      <c r="F10" s="244">
        <f t="shared" si="3"/>
        <v>80441410</v>
      </c>
      <c r="G10" s="244">
        <f t="shared" si="3"/>
        <v>182526546</v>
      </c>
      <c r="H10" s="244">
        <f t="shared" si="3"/>
        <v>1115490632</v>
      </c>
      <c r="J10" s="21"/>
    </row>
    <row r="11" spans="1:12" ht="15" customHeight="1">
      <c r="D11" s="342">
        <f>+D10-H15</f>
        <v>0</v>
      </c>
    </row>
    <row r="12" spans="1:12" ht="15" customHeight="1">
      <c r="B12" s="7" t="s">
        <v>360</v>
      </c>
      <c r="D12" s="21"/>
      <c r="E12" s="21"/>
      <c r="F12" s="7" t="s">
        <v>361</v>
      </c>
      <c r="G12" s="21"/>
      <c r="H12" s="21"/>
      <c r="J12" s="423"/>
    </row>
    <row r="13" spans="1:12" ht="15" customHeight="1">
      <c r="B13" s="39" t="str">
        <f>+B3</f>
        <v>Promissory Notes</v>
      </c>
      <c r="C13" s="397">
        <f>ROUND(D13/$D$10,3)</f>
        <v>0.11</v>
      </c>
      <c r="D13" s="40">
        <f>+D3</f>
        <v>159377689</v>
      </c>
      <c r="E13" s="39"/>
      <c r="F13" s="39" t="s">
        <v>363</v>
      </c>
      <c r="G13" s="336">
        <f>ROUND(H13/$D$10,3)</f>
        <v>0.95499999999999996</v>
      </c>
      <c r="H13" s="40">
        <f>+B44+B45+B46+B47+B48</f>
        <v>1383484577</v>
      </c>
      <c r="I13" s="337"/>
      <c r="J13" s="21"/>
      <c r="K13" s="21"/>
    </row>
    <row r="14" spans="1:12" ht="15" customHeight="1">
      <c r="B14" s="39" t="s">
        <v>362</v>
      </c>
      <c r="C14" s="397">
        <f>ROUND(D14/$D$10,3)</f>
        <v>0.81899999999999995</v>
      </c>
      <c r="D14" s="40">
        <f>+D4</f>
        <v>1187324383</v>
      </c>
      <c r="E14" s="39"/>
      <c r="F14" s="39" t="s">
        <v>176</v>
      </c>
      <c r="G14" s="336">
        <f>ROUND(H14/$D$10,3)</f>
        <v>4.4999999999999998E-2</v>
      </c>
      <c r="H14" s="40">
        <f>+B43</f>
        <v>65586428</v>
      </c>
      <c r="I14" s="337"/>
      <c r="J14" s="21"/>
      <c r="K14" s="21"/>
    </row>
    <row r="15" spans="1:12" ht="15" customHeight="1">
      <c r="B15" s="39" t="s">
        <v>356</v>
      </c>
      <c r="C15" s="397">
        <f>ROUND(D15/$D$10,3)</f>
        <v>6.6000000000000003E-2</v>
      </c>
      <c r="D15" s="40">
        <f>+D5</f>
        <v>95817095</v>
      </c>
      <c r="E15" s="39"/>
      <c r="F15" s="39"/>
      <c r="G15" s="338">
        <f>+G13+G14</f>
        <v>1</v>
      </c>
      <c r="H15" s="40">
        <f>+SUM(H13:H14)</f>
        <v>1449071005</v>
      </c>
      <c r="J15" s="21"/>
      <c r="K15" s="21"/>
    </row>
    <row r="16" spans="1:12" ht="13.8">
      <c r="B16" s="39" t="str">
        <f>+B8</f>
        <v>Lease Liabilities</v>
      </c>
      <c r="C16" s="397">
        <f>ROUND(D16/$D$10,3)</f>
        <v>5.0000000000000001E-3</v>
      </c>
      <c r="D16" s="40">
        <f>+D8</f>
        <v>6551838</v>
      </c>
      <c r="G16" s="41"/>
    </row>
    <row r="17" spans="3:8" ht="15" customHeight="1">
      <c r="C17" s="335">
        <f>SUM(C13:C16)</f>
        <v>0.99999999999999989</v>
      </c>
      <c r="D17" s="332"/>
      <c r="G17" s="42"/>
    </row>
    <row r="18" spans="3:8" ht="15" customHeight="1">
      <c r="C18" s="41"/>
      <c r="D18" s="21"/>
      <c r="E18" s="21"/>
      <c r="F18" s="21"/>
      <c r="G18" s="21"/>
      <c r="H18" s="21"/>
    </row>
    <row r="19" spans="3:8" ht="15" customHeight="1">
      <c r="C19" s="42"/>
      <c r="D19" s="21"/>
      <c r="E19" s="21"/>
      <c r="F19" s="21"/>
      <c r="G19" s="21"/>
      <c r="H19" s="21"/>
    </row>
    <row r="20" spans="3:8" ht="15" customHeight="1">
      <c r="D20" s="21"/>
    </row>
    <row r="21" spans="3:8" ht="15" customHeight="1">
      <c r="D21" s="21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9" t="str">
        <f>'[1]N3 Tasa de interes'!B12</f>
        <v>Préstamos bancarios variable</v>
      </c>
      <c r="B43" s="303">
        <f>'[1]N3 Tasa de interes'!C12</f>
        <v>65586428</v>
      </c>
      <c r="C43" s="374">
        <f>'[1]N3 Tasa de interes'!D12</f>
        <v>4.53E-2</v>
      </c>
      <c r="D43" s="342">
        <f>+B43+B44-J5</f>
        <v>0</v>
      </c>
    </row>
    <row r="44" spans="1:4" ht="15" customHeight="1">
      <c r="A44" s="119" t="str">
        <f>'[1]N3 Tasa de interes'!B13</f>
        <v>Préstamos bancarios fijo</v>
      </c>
      <c r="B44" s="303">
        <f>'[1]N3 Tasa de interes'!C13</f>
        <v>30230667</v>
      </c>
      <c r="C44" s="374">
        <f>'[1]N3 Tasa de interes'!D13</f>
        <v>2.0899999999999998E-2</v>
      </c>
    </row>
    <row r="45" spans="1:4" ht="15" customHeight="1">
      <c r="A45" s="119" t="str">
        <f>'[1]N3 Tasa de interes'!B14</f>
        <v>Bonos</v>
      </c>
      <c r="B45" s="303">
        <f>'[1]N3 Tasa de interes'!C14</f>
        <v>1174027715</v>
      </c>
      <c r="C45" s="374">
        <f>'[1]N3 Tasa de interes'!D14</f>
        <v>0.81010000000000004</v>
      </c>
      <c r="D45" s="342">
        <f>+B45+B47-J4</f>
        <v>0</v>
      </c>
    </row>
    <row r="46" spans="1:4" ht="15" customHeight="1">
      <c r="A46" s="119" t="str">
        <f>'[1]N3 Tasa de interes'!B15</f>
        <v>Aportes financieros reembolsables</v>
      </c>
      <c r="B46" s="303">
        <f>'[1]N3 Tasa de interes'!C15</f>
        <v>159377689</v>
      </c>
      <c r="C46" s="374">
        <f>'[1]N3 Tasa de interes'!D15</f>
        <v>0.11</v>
      </c>
      <c r="D46" s="314">
        <f>+B46-J3</f>
        <v>0</v>
      </c>
    </row>
    <row r="47" spans="1:4" ht="15" customHeight="1">
      <c r="A47" s="119" t="str">
        <f>'[1]N3 Tasa de interes'!B16</f>
        <v>Derivados</v>
      </c>
      <c r="B47" s="303">
        <f>'[1]N3 Tasa de interes'!C16</f>
        <v>13296668</v>
      </c>
      <c r="C47" s="374">
        <f>'[1]N3 Tasa de interes'!D16</f>
        <v>9.1999999999999998E-3</v>
      </c>
      <c r="D47" s="119"/>
    </row>
    <row r="48" spans="1:4" ht="13.8">
      <c r="A48" s="119" t="str">
        <f>'[1]N3 Tasa de interes'!B17</f>
        <v>Pasivo por arrendamiento</v>
      </c>
      <c r="B48" s="303">
        <f>'[1]N3 Tasa de interes'!C17</f>
        <v>6551838</v>
      </c>
      <c r="C48" s="374">
        <f>'[1]N3 Tasa de interes'!D17</f>
        <v>4.4999999999999997E-3</v>
      </c>
      <c r="D48" s="314">
        <f>+B48-J8</f>
        <v>0</v>
      </c>
    </row>
    <row r="49" spans="1:5" ht="15" customHeight="1">
      <c r="A49" s="119" t="str">
        <f>'[1]N3 Tasa de interes'!B18</f>
        <v xml:space="preserve">Total </v>
      </c>
      <c r="B49" s="304">
        <f>'[1]N3 Tasa de interes'!C18</f>
        <v>1449071005</v>
      </c>
      <c r="C49" s="305">
        <f>'[1]N3 Tasa de interes'!D18</f>
        <v>1</v>
      </c>
      <c r="D49" s="314">
        <f>+B49-D10</f>
        <v>0</v>
      </c>
    </row>
    <row r="50" spans="1:5" ht="15" customHeight="1">
      <c r="A50" s="118"/>
      <c r="B50" s="304"/>
      <c r="C50" s="305"/>
    </row>
    <row r="51" spans="1:5" ht="15" customHeight="1">
      <c r="A51" s="118" t="str">
        <f>'[1]N3 Tasa de interes'!B20</f>
        <v>Aspectos financieros al 30-06-2025</v>
      </c>
    </row>
    <row r="52" spans="1:5" ht="15" customHeight="1">
      <c r="A52" s="119" t="str">
        <f>'[1]N3 Tasa de interes'!B21</f>
        <v>Fija</v>
      </c>
      <c r="B52" s="119"/>
      <c r="C52" s="374">
        <f>'[1]N3 Tasa de interes'!D21</f>
        <v>0.95469999999999999</v>
      </c>
    </row>
    <row r="53" spans="1:5" ht="15" customHeight="1">
      <c r="A53" s="119" t="str">
        <f>'[1]N3 Tasa de interes'!B22</f>
        <v>Variable</v>
      </c>
      <c r="B53" s="119"/>
      <c r="C53" s="374">
        <f>'[1]N3 Tasa de interes'!D22</f>
        <v>4.53E-2</v>
      </c>
      <c r="D53" s="41"/>
    </row>
    <row r="54" spans="1:5" ht="15" customHeight="1">
      <c r="A54" s="118" t="str">
        <f>'[1]N3 Tasa de interes'!B23</f>
        <v>Total</v>
      </c>
      <c r="B54" s="118"/>
      <c r="C54" s="305">
        <f>+SUM(C52:C53)</f>
        <v>1</v>
      </c>
      <c r="D54" s="41"/>
    </row>
    <row r="55" spans="1:5" ht="15" customHeight="1">
      <c r="A55" s="119" t="str">
        <f>'[1]N3 Tasa de interes'!B24</f>
        <v>Prestamos bancarios</v>
      </c>
      <c r="B55" s="119"/>
      <c r="C55" s="374">
        <f>'[1]N3 Tasa de interes'!D24</f>
        <v>2.1999999999999999E-2</v>
      </c>
      <c r="D55" s="41"/>
      <c r="E55" s="375"/>
    </row>
    <row r="56" spans="1:5" ht="15" customHeight="1">
      <c r="A56" s="119" t="str">
        <f>'[1]N3 Tasa de interes'!B25</f>
        <v>Bono</v>
      </c>
      <c r="B56" s="119"/>
      <c r="C56" s="374">
        <f>'[1]N3 Tasa de interes'!D25</f>
        <v>0.84799999999999998</v>
      </c>
    </row>
    <row r="57" spans="1:5" ht="15" customHeight="1">
      <c r="A57" s="119" t="str">
        <f>'[1]N3 Tasa de interes'!B26</f>
        <v>AFR</v>
      </c>
      <c r="B57" s="119"/>
      <c r="C57" s="374">
        <f>'[1]N3 Tasa de interes'!D26</f>
        <v>0.115</v>
      </c>
    </row>
    <row r="58" spans="1:5" ht="15" customHeight="1">
      <c r="A58" s="119" t="str">
        <f>'[1]N3 Tasa de interes'!B27</f>
        <v>Derivados</v>
      </c>
      <c r="B58" s="119"/>
      <c r="C58" s="374">
        <f>'[1]N3 Tasa de interes'!D27</f>
        <v>0.01</v>
      </c>
    </row>
    <row r="59" spans="1:5" ht="15" customHeight="1">
      <c r="A59" s="119" t="str">
        <f>'[1]N3 Tasa de interes'!B28</f>
        <v>Pasivo por arrendamiento</v>
      </c>
      <c r="B59" s="119"/>
      <c r="C59" s="374">
        <f>'[1]N3 Tasa de interes'!D28</f>
        <v>5.0000000000000001E-3</v>
      </c>
    </row>
    <row r="60" spans="1:5" ht="15" customHeight="1">
      <c r="A60" s="118" t="str">
        <f>'[1]N3 Tasa de interes'!B29</f>
        <v>Total</v>
      </c>
      <c r="B60" s="118"/>
      <c r="C60" s="305">
        <f>+SUM(C55:C59)</f>
        <v>1</v>
      </c>
    </row>
    <row r="61" spans="1:5" ht="15" customHeight="1">
      <c r="A61" s="119"/>
      <c r="B61" s="119"/>
      <c r="C61" s="119"/>
    </row>
    <row r="62" spans="1:5" ht="15" customHeight="1">
      <c r="A62" s="119"/>
      <c r="B62" s="119"/>
      <c r="C62" s="119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B8" sqref="B8"/>
    </sheetView>
  </sheetViews>
  <sheetFormatPr baseColWidth="10" defaultColWidth="0" defaultRowHeight="15" customHeight="1" zeroHeight="1"/>
  <cols>
    <col min="1" max="1" width="6" style="7" customWidth="1"/>
    <col min="2" max="2" width="33.44140625" style="7" customWidth="1"/>
    <col min="3" max="4" width="12" style="7" bestFit="1" customWidth="1"/>
    <col min="5" max="6" width="11.44140625" style="7" customWidth="1"/>
    <col min="7" max="16384" width="11.44140625" style="7" hidden="1"/>
  </cols>
  <sheetData>
    <row r="1" spans="2:5" ht="15" customHeight="1"/>
    <row r="2" spans="2:5" ht="15" customHeight="1"/>
    <row r="3" spans="2:5" ht="15" customHeight="1" thickBot="1">
      <c r="B3" s="19" t="s">
        <v>383</v>
      </c>
      <c r="C3" s="6" t="str">
        <f>+Results!C3</f>
        <v>Sep.25</v>
      </c>
      <c r="D3" s="6" t="str">
        <f>+Results!D3</f>
        <v>Sep.24</v>
      </c>
      <c r="E3" s="6" t="s">
        <v>164</v>
      </c>
    </row>
    <row r="4" spans="2:5" ht="15" customHeight="1">
      <c r="B4" s="4" t="s">
        <v>384</v>
      </c>
      <c r="C4" s="8">
        <f>ROUND(Cálculos!D28,0)</f>
        <v>268455458</v>
      </c>
      <c r="D4" s="8">
        <f>ROUND(Cálculos!E28,0)</f>
        <v>228032403</v>
      </c>
      <c r="E4" s="43">
        <f>ROUND((C4-D4)/D4,3)</f>
        <v>0.17699999999999999</v>
      </c>
    </row>
    <row r="5" spans="2:5" ht="15" customHeight="1">
      <c r="B5" s="4" t="s">
        <v>385</v>
      </c>
      <c r="C5" s="8">
        <f>ROUND(Cálculos!D29,0)</f>
        <v>-128857881</v>
      </c>
      <c r="D5" s="8">
        <f>ROUND(Cálculos!E29,0)</f>
        <v>-136725925</v>
      </c>
      <c r="E5" s="43">
        <f>ROUND((C5-D5)/D5,3)</f>
        <v>-5.8000000000000003E-2</v>
      </c>
    </row>
    <row r="6" spans="2:5" ht="15" customHeight="1">
      <c r="B6" s="4" t="s">
        <v>386</v>
      </c>
      <c r="C6" s="8">
        <f>ROUND(Cálculos!D30,0)</f>
        <v>-54469483</v>
      </c>
      <c r="D6" s="8">
        <f>ROUND(Cálculos!E30,0)</f>
        <v>-125588146</v>
      </c>
      <c r="E6" s="43">
        <f>ROUND((C6-D6)/D6,3)</f>
        <v>-0.56599999999999995</v>
      </c>
    </row>
    <row r="7" spans="2:5" ht="15" customHeight="1">
      <c r="B7" s="5" t="s">
        <v>387</v>
      </c>
      <c r="C7" s="10">
        <f>SUM(C4:C6)</f>
        <v>85128094</v>
      </c>
      <c r="D7" s="10">
        <f>SUM(D4:D6)</f>
        <v>-34281668</v>
      </c>
      <c r="E7" s="318">
        <f>ROUND((C7-D7)/D7,3)</f>
        <v>-3.4830000000000001</v>
      </c>
    </row>
    <row r="8" spans="2:5" ht="15" customHeight="1">
      <c r="B8" s="5" t="s">
        <v>388</v>
      </c>
      <c r="C8" s="10">
        <f>ROUND(Cálculos!D33,0)</f>
        <v>193886525</v>
      </c>
      <c r="D8" s="10">
        <f>ROUND(Cálculos!E33,0)</f>
        <v>74875013</v>
      </c>
      <c r="E8" s="318">
        <f>ROUND((C8-D8)/D8,3)</f>
        <v>1.589</v>
      </c>
    </row>
    <row r="9" spans="2:5" ht="15" customHeight="1">
      <c r="C9" s="25">
        <f>+C8-Balance!D6</f>
        <v>0</v>
      </c>
      <c r="D9" s="25"/>
    </row>
    <row r="10" spans="2:5" ht="16.8" hidden="1" customHeight="1"/>
    <row r="11" spans="2:5" ht="15" hidden="1" customHeight="1">
      <c r="C11" s="16"/>
    </row>
    <row r="12" spans="2:5" ht="15" hidden="1" customHeight="1">
      <c r="C12" s="16"/>
      <c r="D12" s="25"/>
    </row>
    <row r="13" spans="2:5" ht="15" hidden="1" customHeight="1">
      <c r="C13" s="16"/>
    </row>
    <row r="14" spans="2:5" ht="15" hidden="1" customHeight="1">
      <c r="C14" s="16"/>
    </row>
    <row r="15" spans="2:5" ht="15" hidden="1" customHeight="1">
      <c r="C15" s="16"/>
    </row>
    <row r="16" spans="2:5" ht="15" hidden="1" customHeight="1">
      <c r="C16" s="16"/>
    </row>
    <row r="17" spans="3:3" ht="15" hidden="1" customHeight="1">
      <c r="C17" s="16"/>
    </row>
    <row r="18" spans="3:3" ht="15" hidden="1" customHeight="1">
      <c r="C18" s="21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8"/>
  <sheetViews>
    <sheetView showGridLines="0" workbookViewId="0">
      <selection activeCell="B16" sqref="B16"/>
    </sheetView>
  </sheetViews>
  <sheetFormatPr baseColWidth="10" defaultColWidth="0" defaultRowHeight="0" customHeight="1" zeroHeight="1"/>
  <cols>
    <col min="1" max="1" width="8" style="15" bestFit="1" customWidth="1"/>
    <col min="2" max="2" width="35.44140625" style="15" bestFit="1" customWidth="1"/>
    <col min="3" max="3" width="8.5546875" style="15" customWidth="1"/>
    <col min="4" max="5" width="13.5546875" style="15" customWidth="1"/>
    <col min="6" max="6" width="11.44140625" style="15" customWidth="1"/>
    <col min="7" max="14" width="0" style="15" hidden="1" customWidth="1"/>
    <col min="15" max="16384" width="11.44140625" style="15" hidden="1"/>
  </cols>
  <sheetData>
    <row r="1" spans="1:6" ht="15" customHeight="1"/>
    <row r="2" spans="1:6" ht="15" customHeight="1"/>
    <row r="3" spans="1:6" ht="15" customHeight="1" thickBot="1">
      <c r="B3" s="44"/>
      <c r="C3" s="35"/>
      <c r="D3" s="35" t="str">
        <f>+'Statement of Financial Position'!C3</f>
        <v>Sep.25</v>
      </c>
      <c r="E3" s="35" t="str">
        <f>+'Statement of Financial Position'!D3</f>
        <v xml:space="preserve">         Dec. 24</v>
      </c>
    </row>
    <row r="4" spans="1:6" ht="15" customHeight="1">
      <c r="B4" s="5" t="s">
        <v>396</v>
      </c>
      <c r="C4" s="4"/>
    </row>
    <row r="5" spans="1:6" ht="15" customHeight="1">
      <c r="A5" s="45"/>
      <c r="B5" s="4" t="s">
        <v>392</v>
      </c>
      <c r="C5" s="36" t="s">
        <v>389</v>
      </c>
      <c r="D5" s="46">
        <f>Cálculos!K7</f>
        <v>1.37</v>
      </c>
      <c r="E5" s="46">
        <f>Cálculos!M7</f>
        <v>0.82</v>
      </c>
      <c r="F5" s="47"/>
    </row>
    <row r="6" spans="1:6" ht="15" customHeight="1">
      <c r="A6" s="45"/>
      <c r="B6" s="4" t="s">
        <v>393</v>
      </c>
      <c r="C6" s="36" t="s">
        <v>389</v>
      </c>
      <c r="D6" s="46">
        <f>Cálculos!K10</f>
        <v>0.75</v>
      </c>
      <c r="E6" s="46">
        <f>Cálculos!M10</f>
        <v>0.31</v>
      </c>
      <c r="F6" s="47"/>
    </row>
    <row r="7" spans="1:6" ht="15" customHeight="1">
      <c r="B7" s="5" t="s">
        <v>395</v>
      </c>
      <c r="C7" s="4"/>
      <c r="D7" s="48"/>
      <c r="E7" s="48"/>
      <c r="F7" s="47"/>
    </row>
    <row r="8" spans="1:6" ht="15" customHeight="1">
      <c r="B8" s="4" t="s">
        <v>394</v>
      </c>
      <c r="C8" s="36" t="s">
        <v>389</v>
      </c>
      <c r="D8" s="46">
        <f>Cálculos!K14</f>
        <v>1.36</v>
      </c>
      <c r="E8" s="46">
        <f>Cálculos!M14</f>
        <v>1.34</v>
      </c>
      <c r="F8" s="47"/>
    </row>
    <row r="9" spans="1:6" ht="15" customHeight="1">
      <c r="A9" s="45"/>
      <c r="B9" s="4" t="s">
        <v>397</v>
      </c>
      <c r="C9" s="36" t="s">
        <v>389</v>
      </c>
      <c r="D9" s="46">
        <f>Cálculos!K17</f>
        <v>0.1431</v>
      </c>
      <c r="E9" s="46">
        <f>Cálculos!M17</f>
        <v>0.20369999999999999</v>
      </c>
      <c r="F9" s="47"/>
    </row>
    <row r="10" spans="1:6" ht="15" customHeight="1">
      <c r="A10" s="45"/>
      <c r="B10" s="4" t="s">
        <v>398</v>
      </c>
      <c r="C10" s="36" t="s">
        <v>389</v>
      </c>
      <c r="D10" s="46">
        <f>Cálculos!K20</f>
        <v>0.8569</v>
      </c>
      <c r="E10" s="46">
        <f>Cálculos!M20</f>
        <v>0.79630000000000001</v>
      </c>
      <c r="F10" s="47"/>
    </row>
    <row r="11" spans="1:6" ht="15" customHeight="1">
      <c r="A11" s="45"/>
      <c r="B11" s="4" t="s">
        <v>399</v>
      </c>
      <c r="C11" s="36" t="s">
        <v>389</v>
      </c>
      <c r="D11" s="46">
        <f>Cálculos!K23</f>
        <v>4.0599999999999996</v>
      </c>
      <c r="E11" s="46">
        <f>Cálculos!M23</f>
        <v>4.22</v>
      </c>
      <c r="F11" s="47"/>
    </row>
    <row r="12" spans="1:6" ht="15" customHeight="1">
      <c r="B12" s="5" t="s">
        <v>400</v>
      </c>
      <c r="C12" s="4"/>
      <c r="D12" s="48"/>
      <c r="E12" s="48"/>
      <c r="F12" s="47"/>
    </row>
    <row r="13" spans="1:6" s="4" customFormat="1" ht="24">
      <c r="A13" s="413"/>
      <c r="B13" s="49" t="s">
        <v>402</v>
      </c>
      <c r="C13" s="36" t="s">
        <v>60</v>
      </c>
      <c r="D13" s="46">
        <f>Cálculos!K39</f>
        <v>10.39</v>
      </c>
      <c r="E13" s="46">
        <f>Cálculos!M39</f>
        <v>11.42</v>
      </c>
      <c r="F13" s="48"/>
    </row>
    <row r="14" spans="1:6" ht="15" customHeight="1">
      <c r="A14" s="45"/>
      <c r="B14" s="4" t="s">
        <v>401</v>
      </c>
      <c r="C14" s="36" t="s">
        <v>60</v>
      </c>
      <c r="D14" s="46">
        <f>Cálculos!K42</f>
        <v>4.42</v>
      </c>
      <c r="E14" s="46">
        <f>Cálculos!M42</f>
        <v>4.5699999999999994</v>
      </c>
      <c r="F14" s="47"/>
    </row>
    <row r="15" spans="1:6" ht="15" customHeight="1">
      <c r="A15" s="45"/>
      <c r="B15" s="4" t="s">
        <v>403</v>
      </c>
      <c r="C15" s="36" t="s">
        <v>61</v>
      </c>
      <c r="D15" s="46">
        <f>Cálculos!K45</f>
        <v>21.29</v>
      </c>
      <c r="E15" s="46">
        <f>Cálculos!M45</f>
        <v>20.32</v>
      </c>
      <c r="F15" s="47"/>
    </row>
    <row r="16" spans="1:6" ht="15" customHeight="1">
      <c r="B16" s="4" t="s">
        <v>404</v>
      </c>
      <c r="C16" s="36" t="s">
        <v>60</v>
      </c>
      <c r="D16" s="46">
        <f>Cálculos!K49</f>
        <v>3.9</v>
      </c>
      <c r="E16" s="46">
        <f>Cálculos!M49</f>
        <v>4.83</v>
      </c>
      <c r="F16" s="47"/>
    </row>
    <row r="17" ht="15" customHeight="1"/>
    <row r="18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B050"/>
    <pageSetUpPr fitToPage="1"/>
  </sheetPr>
  <dimension ref="A1:V205"/>
  <sheetViews>
    <sheetView showGridLines="0" topLeftCell="A23" zoomScaleNormal="100" workbookViewId="0">
      <selection activeCell="F28" sqref="F28"/>
    </sheetView>
  </sheetViews>
  <sheetFormatPr baseColWidth="10" defaultColWidth="11.44140625" defaultRowHeight="15" customHeight="1"/>
  <cols>
    <col min="1" max="1" width="3.5546875" style="119" customWidth="1"/>
    <col min="2" max="2" width="39.5546875" style="119" customWidth="1"/>
    <col min="3" max="3" width="16.44140625" style="119" customWidth="1"/>
    <col min="4" max="6" width="18.5546875" style="119" bestFit="1" customWidth="1"/>
    <col min="7" max="7" width="17.44140625" style="119" customWidth="1"/>
    <col min="8" max="8" width="31.5546875" style="119" customWidth="1"/>
    <col min="9" max="9" width="7.44140625" style="119" customWidth="1"/>
    <col min="10" max="10" width="21" style="119" bestFit="1" customWidth="1"/>
    <col min="11" max="11" width="11.44140625" style="119" customWidth="1"/>
    <col min="12" max="12" width="17.5546875" style="119" customWidth="1"/>
    <col min="13" max="13" width="11.44140625" style="119" customWidth="1"/>
    <col min="14" max="14" width="1.5546875" style="119" customWidth="1"/>
    <col min="15" max="15" width="10.5546875" style="119" customWidth="1"/>
    <col min="16" max="16" width="11.5546875" style="120" customWidth="1"/>
    <col min="17" max="17" width="13.44140625" style="119" customWidth="1"/>
    <col min="18" max="18" width="11.5546875" style="119" bestFit="1" customWidth="1"/>
    <col min="19" max="16384" width="11.44140625" style="119"/>
  </cols>
  <sheetData>
    <row r="1" spans="2:22" ht="15" customHeight="1">
      <c r="B1" s="118" t="s">
        <v>162</v>
      </c>
    </row>
    <row r="2" spans="2:22" ht="15" customHeight="1">
      <c r="B2" s="118" t="s">
        <v>161</v>
      </c>
      <c r="K2" s="123"/>
      <c r="T2" s="121"/>
    </row>
    <row r="3" spans="2:22" ht="15" customHeight="1" thickBot="1">
      <c r="H3" s="122" t="s">
        <v>0</v>
      </c>
      <c r="J3" s="123"/>
      <c r="K3" s="123"/>
      <c r="L3" s="123"/>
      <c r="R3" s="124"/>
    </row>
    <row r="4" spans="2:22" ht="15" customHeight="1" thickBot="1">
      <c r="B4" s="125" t="s">
        <v>2</v>
      </c>
      <c r="C4" s="126"/>
      <c r="D4" s="127" t="s">
        <v>302</v>
      </c>
      <c r="E4" s="127" t="s">
        <v>296</v>
      </c>
      <c r="F4" s="127" t="s">
        <v>264</v>
      </c>
      <c r="H4" s="118" t="s">
        <v>1</v>
      </c>
      <c r="J4" s="128" t="str">
        <f>+D4</f>
        <v>Sep-25</v>
      </c>
      <c r="L4" s="128" t="str">
        <f>+E4</f>
        <v>Dic-24</v>
      </c>
      <c r="O4" s="129"/>
      <c r="R4" s="130"/>
      <c r="S4" s="130"/>
      <c r="T4" s="131"/>
      <c r="U4" s="130"/>
      <c r="V4" s="130"/>
    </row>
    <row r="5" spans="2:22" ht="15" customHeight="1" thickBot="1">
      <c r="B5" s="132"/>
      <c r="C5" s="133"/>
      <c r="D5" s="133"/>
      <c r="E5" s="134"/>
      <c r="F5" s="135"/>
      <c r="H5" s="136" t="s">
        <v>3</v>
      </c>
      <c r="J5" s="123"/>
      <c r="K5" s="123"/>
      <c r="M5" s="123"/>
      <c r="P5" s="137"/>
    </row>
    <row r="6" spans="2:22" ht="15" customHeight="1">
      <c r="B6" s="138" t="s">
        <v>43</v>
      </c>
      <c r="C6" s="139" t="s">
        <v>4</v>
      </c>
      <c r="D6" s="140">
        <f>+Balance!D15</f>
        <v>355174826</v>
      </c>
      <c r="E6" s="141">
        <f>+Balance!E15</f>
        <v>288702263</v>
      </c>
      <c r="F6" s="406">
        <f>+[3]Cálculos!$E$6</f>
        <v>275004410</v>
      </c>
      <c r="H6" s="118" t="s">
        <v>5</v>
      </c>
      <c r="J6" s="123"/>
      <c r="K6" s="123"/>
      <c r="M6" s="123"/>
      <c r="O6" s="142"/>
    </row>
    <row r="7" spans="2:22" ht="15" customHeight="1">
      <c r="B7" s="138" t="s">
        <v>44</v>
      </c>
      <c r="C7" s="139" t="s">
        <v>4</v>
      </c>
      <c r="D7" s="140">
        <f>+Balance!D26</f>
        <v>2796138804</v>
      </c>
      <c r="E7" s="141">
        <f>+Balance!E26</f>
        <v>2729457072</v>
      </c>
      <c r="F7" s="406">
        <f>+[3]Cálculos!$E$7</f>
        <v>2148343319</v>
      </c>
      <c r="H7" s="143" t="s">
        <v>41</v>
      </c>
      <c r="I7" s="119" t="s">
        <v>6</v>
      </c>
      <c r="J7" s="144">
        <f>+D6</f>
        <v>355174826</v>
      </c>
      <c r="K7" s="145">
        <f>ROUND(J7/J8,2)</f>
        <v>1.37</v>
      </c>
      <c r="L7" s="144">
        <f>+E6</f>
        <v>288702263</v>
      </c>
      <c r="M7" s="145">
        <f>ROUND(L7/L8,2)</f>
        <v>0.82</v>
      </c>
      <c r="N7" s="146"/>
      <c r="O7" s="147">
        <f>ROUND((K7/M7)-1,3)</f>
        <v>0.67100000000000004</v>
      </c>
      <c r="P7" s="148">
        <f>ROUND((J7/L7)-1,3)</f>
        <v>0.23</v>
      </c>
      <c r="Q7" s="123">
        <f>+J7-L7</f>
        <v>66472563</v>
      </c>
    </row>
    <row r="8" spans="2:22" ht="15" customHeight="1">
      <c r="B8" s="149" t="s">
        <v>7</v>
      </c>
      <c r="C8" s="150"/>
      <c r="D8" s="151">
        <f>SUM(D6:D7)</f>
        <v>3151313630</v>
      </c>
      <c r="E8" s="152">
        <f>SUM(E6:E7)</f>
        <v>3018159335</v>
      </c>
      <c r="F8" s="411">
        <f>SUM(F6:F7)</f>
        <v>2423347729</v>
      </c>
      <c r="H8" s="119" t="s">
        <v>42</v>
      </c>
      <c r="J8" s="123">
        <f>+D10</f>
        <v>259732394</v>
      </c>
      <c r="K8" s="123"/>
      <c r="L8" s="123">
        <f>+E10</f>
        <v>351513489</v>
      </c>
      <c r="M8" s="123"/>
      <c r="O8" s="153"/>
      <c r="P8" s="148">
        <f>ROUND((J8/L8)-1,3)</f>
        <v>-0.26100000000000001</v>
      </c>
      <c r="Q8" s="123">
        <f>+J8-L8</f>
        <v>-91781095</v>
      </c>
    </row>
    <row r="9" spans="2:22" ht="15" customHeight="1">
      <c r="B9" s="138"/>
      <c r="C9" s="133"/>
      <c r="D9" s="140"/>
      <c r="E9" s="141"/>
      <c r="F9" s="406"/>
      <c r="H9" s="118" t="s">
        <v>8</v>
      </c>
      <c r="J9" s="123"/>
      <c r="K9" s="123"/>
      <c r="L9" s="123"/>
      <c r="M9" s="123"/>
      <c r="O9" s="154"/>
    </row>
    <row r="10" spans="2:22" ht="15" customHeight="1">
      <c r="B10" s="138" t="s">
        <v>46</v>
      </c>
      <c r="C10" s="139" t="s">
        <v>4</v>
      </c>
      <c r="D10" s="140">
        <f>+Balance!D44</f>
        <v>259732394</v>
      </c>
      <c r="E10" s="141">
        <f>+Balance!E44</f>
        <v>351513489</v>
      </c>
      <c r="F10" s="406">
        <f>+[3]Cálculos!$E$10</f>
        <v>361668126</v>
      </c>
      <c r="H10" s="143" t="s">
        <v>51</v>
      </c>
      <c r="I10" s="119" t="s">
        <v>6</v>
      </c>
      <c r="J10" s="144">
        <f>+D33</f>
        <v>193886525</v>
      </c>
      <c r="K10" s="145">
        <f>ROUND(J10/J11,2)</f>
        <v>0.75</v>
      </c>
      <c r="L10" s="144">
        <f>+Balance!E6</f>
        <v>108758431</v>
      </c>
      <c r="M10" s="145">
        <f>ROUND(L10/L11,2)</f>
        <v>0.31</v>
      </c>
      <c r="N10" s="146"/>
      <c r="O10" s="147">
        <f>ROUND((K10/M10)-1,4)</f>
        <v>1.4194</v>
      </c>
      <c r="P10" s="148">
        <f>ROUND((J10/L10)-1,3)</f>
        <v>0.78300000000000003</v>
      </c>
      <c r="Q10" s="123">
        <f>+J10-L10</f>
        <v>85128094</v>
      </c>
      <c r="R10" s="155"/>
    </row>
    <row r="11" spans="2:22" ht="15" customHeight="1" thickBot="1">
      <c r="B11" s="138" t="s">
        <v>45</v>
      </c>
      <c r="C11" s="139" t="s">
        <v>4</v>
      </c>
      <c r="D11" s="140">
        <f>+Balance!D54</f>
        <v>1555451780</v>
      </c>
      <c r="E11" s="141">
        <f>+Balance!E54</f>
        <v>1374530378</v>
      </c>
      <c r="F11" s="406">
        <f>+[3]Cálculos!$E$11</f>
        <v>1175540305</v>
      </c>
      <c r="H11" s="119" t="s">
        <v>42</v>
      </c>
      <c r="J11" s="123">
        <f>+D10</f>
        <v>259732394</v>
      </c>
      <c r="K11" s="123"/>
      <c r="L11" s="123">
        <f>+E10</f>
        <v>351513489</v>
      </c>
      <c r="M11" s="123"/>
      <c r="O11" s="153"/>
      <c r="P11" s="148">
        <f>ROUND((J11/L11)-1,3)</f>
        <v>-0.26100000000000001</v>
      </c>
      <c r="Q11" s="123">
        <f>+J11-L11</f>
        <v>-91781095</v>
      </c>
    </row>
    <row r="12" spans="2:22" ht="15" customHeight="1" thickBot="1">
      <c r="B12" s="138" t="s">
        <v>47</v>
      </c>
      <c r="C12" s="139" t="s">
        <v>4</v>
      </c>
      <c r="D12" s="140">
        <f>+Balance!D64</f>
        <v>49999</v>
      </c>
      <c r="E12" s="141">
        <f>+Balance!E64</f>
        <v>48518</v>
      </c>
      <c r="F12" s="406">
        <f>+[3]Cálculos!$E$12</f>
        <v>31468</v>
      </c>
      <c r="H12" s="136" t="s">
        <v>9</v>
      </c>
      <c r="J12" s="123"/>
      <c r="K12" s="123"/>
      <c r="L12" s="123"/>
      <c r="M12" s="123"/>
      <c r="O12" s="153"/>
    </row>
    <row r="13" spans="2:22" ht="15" customHeight="1">
      <c r="B13" s="138" t="s">
        <v>85</v>
      </c>
      <c r="C13" s="139" t="s">
        <v>4</v>
      </c>
      <c r="D13" s="140">
        <f>+Balance!D63</f>
        <v>1336079457</v>
      </c>
      <c r="E13" s="141">
        <f>+Balance!E63</f>
        <v>1292066950</v>
      </c>
      <c r="F13" s="406">
        <f>+[3]Cálculos!$E$13</f>
        <v>886107830</v>
      </c>
      <c r="H13" s="118" t="s">
        <v>10</v>
      </c>
      <c r="J13" s="123"/>
      <c r="K13" s="123"/>
      <c r="L13" s="123"/>
      <c r="M13" s="123"/>
      <c r="O13" s="153"/>
    </row>
    <row r="14" spans="2:22" ht="15" customHeight="1" thickBot="1">
      <c r="B14" s="156" t="s">
        <v>7</v>
      </c>
      <c r="C14" s="157"/>
      <c r="D14" s="158">
        <f>SUM(D10:D13)</f>
        <v>3151313630</v>
      </c>
      <c r="E14" s="159">
        <f>SUM(E10:E13)</f>
        <v>3018159335</v>
      </c>
      <c r="F14" s="412">
        <f>SUM(F10:F13)</f>
        <v>2423347729</v>
      </c>
      <c r="H14" s="143" t="s">
        <v>11</v>
      </c>
      <c r="I14" s="119" t="s">
        <v>6</v>
      </c>
      <c r="J14" s="144">
        <f>+D10+D11</f>
        <v>1815184174</v>
      </c>
      <c r="K14" s="160">
        <f>ROUND(J14/J15,2)</f>
        <v>1.36</v>
      </c>
      <c r="L14" s="144">
        <f>+E10+E11</f>
        <v>1726043867</v>
      </c>
      <c r="M14" s="160">
        <f>ROUND(L14/L15,2)</f>
        <v>1.34</v>
      </c>
      <c r="N14" s="161"/>
      <c r="O14" s="147">
        <f>ROUND((K14/M14)-1,4)</f>
        <v>1.49E-2</v>
      </c>
      <c r="P14" s="148">
        <f>ROUND((J14/L14)-1,3)</f>
        <v>5.1999999999999998E-2</v>
      </c>
      <c r="Q14" s="123">
        <f>+J14-L14</f>
        <v>89140307</v>
      </c>
    </row>
    <row r="15" spans="2:22" ht="15" customHeight="1" thickBot="1">
      <c r="B15" s="162"/>
      <c r="D15" s="163">
        <f>+D8-D14</f>
        <v>0</v>
      </c>
      <c r="E15" s="163">
        <f t="shared" ref="E15:F15" si="0">+E8-E14</f>
        <v>0</v>
      </c>
      <c r="F15" s="163">
        <f t="shared" si="0"/>
        <v>0</v>
      </c>
      <c r="H15" s="119" t="s">
        <v>83</v>
      </c>
      <c r="J15" s="123">
        <f>+D13+D12</f>
        <v>1336129456</v>
      </c>
      <c r="K15" s="123"/>
      <c r="L15" s="123">
        <f>+E13+E12</f>
        <v>1292115468</v>
      </c>
      <c r="M15" s="123"/>
      <c r="O15" s="153"/>
      <c r="P15" s="148">
        <f>ROUND((J15/L15)-1,3)</f>
        <v>3.4000000000000002E-2</v>
      </c>
      <c r="Q15" s="123">
        <f>+J15-L15</f>
        <v>44013988</v>
      </c>
    </row>
    <row r="16" spans="2:22" ht="15" customHeight="1">
      <c r="B16" s="125" t="s">
        <v>12</v>
      </c>
      <c r="C16" s="126"/>
      <c r="D16" s="164" t="str">
        <f>+$D$4</f>
        <v>Sep-25</v>
      </c>
      <c r="E16" s="164" t="s">
        <v>303</v>
      </c>
      <c r="F16" s="164" t="s">
        <v>296</v>
      </c>
      <c r="H16" s="118" t="s">
        <v>13</v>
      </c>
      <c r="J16" s="123"/>
      <c r="K16" s="123"/>
      <c r="L16" s="123"/>
      <c r="M16" s="123"/>
      <c r="O16" s="142"/>
    </row>
    <row r="17" spans="1:20" ht="15" customHeight="1">
      <c r="B17" s="132"/>
      <c r="C17" s="165"/>
      <c r="D17" s="166"/>
      <c r="E17" s="166"/>
      <c r="F17" s="167"/>
      <c r="H17" s="168" t="s">
        <v>42</v>
      </c>
      <c r="I17" s="119" t="s">
        <v>6</v>
      </c>
      <c r="J17" s="144">
        <f>+D10</f>
        <v>259732394</v>
      </c>
      <c r="K17" s="160">
        <f>ROUND(J17/J18,4)</f>
        <v>0.1431</v>
      </c>
      <c r="L17" s="144">
        <f>+E10</f>
        <v>351513489</v>
      </c>
      <c r="M17" s="160">
        <f>ROUND(L17/L18,4)</f>
        <v>0.20369999999999999</v>
      </c>
      <c r="N17" s="161"/>
      <c r="O17" s="147">
        <f>ROUND((K17/M17)-1,4)</f>
        <v>-0.29749999999999999</v>
      </c>
      <c r="P17" s="148">
        <f>ROUND((J17/L17)-1,3)</f>
        <v>-0.26100000000000001</v>
      </c>
      <c r="Q17" s="123">
        <f>+J17-L17</f>
        <v>-91781095</v>
      </c>
      <c r="R17" s="147"/>
    </row>
    <row r="18" spans="1:20" ht="15" customHeight="1">
      <c r="B18" s="138" t="s">
        <v>55</v>
      </c>
      <c r="C18" s="139" t="s">
        <v>4</v>
      </c>
      <c r="D18" s="166">
        <f>+C50</f>
        <v>520857684</v>
      </c>
      <c r="E18" s="166">
        <f>+D50</f>
        <v>483314321</v>
      </c>
      <c r="F18" s="402">
        <f>[4]Cálculos!D18</f>
        <v>662701294</v>
      </c>
      <c r="H18" s="119" t="s">
        <v>14</v>
      </c>
      <c r="J18" s="123">
        <f>+D10+D11</f>
        <v>1815184174</v>
      </c>
      <c r="K18" s="123"/>
      <c r="L18" s="123">
        <f>+E10+E11</f>
        <v>1726043867</v>
      </c>
      <c r="M18" s="123"/>
      <c r="O18" s="153"/>
      <c r="P18" s="148">
        <f>ROUND((J18/L18)-1,3)</f>
        <v>5.1999999999999998E-2</v>
      </c>
      <c r="Q18" s="123">
        <f>+J18-L18</f>
        <v>89140307</v>
      </c>
    </row>
    <row r="19" spans="1:20" ht="15" customHeight="1">
      <c r="B19" s="138" t="s">
        <v>56</v>
      </c>
      <c r="C19" s="139" t="s">
        <v>4</v>
      </c>
      <c r="D19" s="166">
        <f>-C51-C53-C55-C56-C52</f>
        <v>331340073</v>
      </c>
      <c r="E19" s="166">
        <f>-D51-D53-D55-D56-D52</f>
        <v>308806660</v>
      </c>
      <c r="F19" s="402">
        <f>[4]Cálculos!D19</f>
        <v>419485467</v>
      </c>
      <c r="H19" s="118" t="s">
        <v>15</v>
      </c>
      <c r="J19" s="123"/>
      <c r="K19" s="123"/>
      <c r="L19" s="123"/>
      <c r="M19" s="123"/>
      <c r="O19" s="142"/>
      <c r="P19" s="169"/>
      <c r="Q19" s="123"/>
      <c r="R19" s="153"/>
      <c r="T19" s="123"/>
    </row>
    <row r="20" spans="1:20" ht="15" customHeight="1">
      <c r="B20" s="132" t="s">
        <v>63</v>
      </c>
      <c r="C20" s="165" t="s">
        <v>4</v>
      </c>
      <c r="D20" s="170">
        <f>+C65</f>
        <v>120915086</v>
      </c>
      <c r="E20" s="170">
        <f>+D65</f>
        <v>115732484</v>
      </c>
      <c r="F20" s="403">
        <f>[4]Cálculos!D20</f>
        <v>158648372</v>
      </c>
      <c r="H20" s="168" t="s">
        <v>52</v>
      </c>
      <c r="I20" s="119" t="s">
        <v>6</v>
      </c>
      <c r="J20" s="144">
        <f>+D11</f>
        <v>1555451780</v>
      </c>
      <c r="K20" s="160">
        <f>ROUND(J20/J21,4)</f>
        <v>0.8569</v>
      </c>
      <c r="L20" s="144">
        <f>+E11</f>
        <v>1374530378</v>
      </c>
      <c r="M20" s="160">
        <f>ROUND(L20/L21,4)</f>
        <v>0.79630000000000001</v>
      </c>
      <c r="N20" s="161"/>
      <c r="O20" s="147">
        <f>ROUND((K20/M20)-1,4)</f>
        <v>7.6100000000000001E-2</v>
      </c>
      <c r="P20" s="148">
        <f>ROUND((J20/L20)-1,3)</f>
        <v>0.13200000000000001</v>
      </c>
      <c r="Q20" s="123">
        <f>+J20-L20</f>
        <v>180921402</v>
      </c>
      <c r="R20" s="153"/>
      <c r="T20" s="123"/>
    </row>
    <row r="21" spans="1:20" ht="15" customHeight="1">
      <c r="B21" s="138" t="s">
        <v>18</v>
      </c>
      <c r="C21" s="139" t="s">
        <v>4</v>
      </c>
      <c r="D21" s="166">
        <f>+C59</f>
        <v>-41423467</v>
      </c>
      <c r="E21" s="166">
        <f>+D59</f>
        <v>-37232930</v>
      </c>
      <c r="F21" s="402">
        <f>[4]Cálculos!D21</f>
        <v>-49334397</v>
      </c>
      <c r="H21" s="119" t="s">
        <v>14</v>
      </c>
      <c r="J21" s="123">
        <f>+J18</f>
        <v>1815184174</v>
      </c>
      <c r="K21" s="123" t="s">
        <v>0</v>
      </c>
      <c r="L21" s="123">
        <f>+L18</f>
        <v>1726043867</v>
      </c>
      <c r="M21" s="123" t="s">
        <v>0</v>
      </c>
      <c r="O21" s="153"/>
      <c r="P21" s="148">
        <f>ROUND((J21/L21)-1,3)</f>
        <v>5.1999999999999998E-2</v>
      </c>
      <c r="Q21" s="123">
        <f>+J21-L21</f>
        <v>89140307</v>
      </c>
      <c r="T21" s="123"/>
    </row>
    <row r="22" spans="1:20" ht="15" customHeight="1">
      <c r="B22" s="138" t="s">
        <v>20</v>
      </c>
      <c r="C22" s="139" t="s">
        <v>4</v>
      </c>
      <c r="D22" s="166">
        <f>+J32</f>
        <v>227128173</v>
      </c>
      <c r="E22" s="166">
        <f>+L32</f>
        <v>290199344</v>
      </c>
      <c r="F22" s="402">
        <f>[4]Cálculos!D22</f>
        <v>290199344</v>
      </c>
      <c r="H22" s="118" t="s">
        <v>16</v>
      </c>
      <c r="J22" s="123"/>
      <c r="K22" s="123"/>
      <c r="L22" s="123"/>
      <c r="M22" s="123"/>
      <c r="O22" s="153"/>
      <c r="P22" s="171"/>
    </row>
    <row r="23" spans="1:20" ht="15" customHeight="1">
      <c r="B23" s="138" t="s">
        <v>21</v>
      </c>
      <c r="C23" s="139" t="s">
        <v>4</v>
      </c>
      <c r="D23" s="166">
        <f>+C70</f>
        <v>97304965</v>
      </c>
      <c r="E23" s="166">
        <f>+D70</f>
        <v>91402116</v>
      </c>
      <c r="F23" s="402">
        <f>[4]Cálculos!D23</f>
        <v>124339646</v>
      </c>
      <c r="H23" s="143" t="s">
        <v>17</v>
      </c>
      <c r="J23" s="144">
        <f>Annualized!C13</f>
        <v>217355908</v>
      </c>
      <c r="K23" s="145">
        <f>ROUND(J23/J24,2)</f>
        <v>4.0599999999999996</v>
      </c>
      <c r="L23" s="144">
        <f>+F20-F21</f>
        <v>207982769</v>
      </c>
      <c r="M23" s="145">
        <f>ROUND(L23/L24,2)</f>
        <v>4.22</v>
      </c>
      <c r="N23" s="172"/>
      <c r="O23" s="147">
        <f>ROUND((K23/M23)-1,4)</f>
        <v>-3.7900000000000003E-2</v>
      </c>
      <c r="P23" s="148">
        <f>ROUND((J23/L23)-1,3)</f>
        <v>4.4999999999999998E-2</v>
      </c>
      <c r="Q23" s="123">
        <f>+J23-L23</f>
        <v>9373139</v>
      </c>
    </row>
    <row r="24" spans="1:20" ht="15" customHeight="1" thickBot="1">
      <c r="B24" s="138" t="s">
        <v>22</v>
      </c>
      <c r="C24" s="139" t="s">
        <v>4</v>
      </c>
      <c r="D24" s="166">
        <f>+C66</f>
        <v>-23608532</v>
      </c>
      <c r="E24" s="166">
        <f>+D66</f>
        <v>-24328925</v>
      </c>
      <c r="F24" s="402">
        <f>[4]Cálculos!D24</f>
        <v>-34306718</v>
      </c>
      <c r="H24" s="119" t="s">
        <v>19</v>
      </c>
      <c r="J24" s="123">
        <f>Annualized!C20</f>
        <v>53524934</v>
      </c>
      <c r="K24" s="173"/>
      <c r="L24" s="123">
        <f>-E59</f>
        <v>49334397</v>
      </c>
      <c r="M24" s="173"/>
      <c r="O24" s="123"/>
      <c r="P24" s="174">
        <f>ROUND((J24/L24)-1,3)</f>
        <v>8.5000000000000006E-2</v>
      </c>
      <c r="Q24" s="123">
        <f>+J24-L24</f>
        <v>4190537</v>
      </c>
      <c r="T24" s="161"/>
    </row>
    <row r="25" spans="1:20" ht="15" customHeight="1" thickBot="1">
      <c r="B25" s="175" t="s">
        <v>57</v>
      </c>
      <c r="C25" s="176" t="s">
        <v>4</v>
      </c>
      <c r="D25" s="177">
        <f>+C53</f>
        <v>-64792798</v>
      </c>
      <c r="E25" s="177">
        <f>+D53</f>
        <v>-60798649</v>
      </c>
      <c r="F25" s="404">
        <f>[4]Cálculos!D25</f>
        <v>-82220591</v>
      </c>
      <c r="H25" s="178" t="s">
        <v>23</v>
      </c>
      <c r="I25" s="179"/>
      <c r="J25" s="180"/>
      <c r="K25" s="180"/>
      <c r="L25" s="180"/>
      <c r="M25" s="180"/>
      <c r="N25" s="179"/>
      <c r="O25" s="181"/>
      <c r="P25" s="179"/>
    </row>
    <row r="26" spans="1:20" ht="15" customHeight="1" thickBot="1">
      <c r="C26" s="130"/>
      <c r="D26" s="182"/>
      <c r="E26" s="183"/>
      <c r="F26" s="182"/>
      <c r="H26" s="179" t="s">
        <v>53</v>
      </c>
      <c r="I26" s="179" t="s">
        <v>6</v>
      </c>
      <c r="J26" s="184">
        <f>+D23</f>
        <v>97304965</v>
      </c>
      <c r="K26" s="180"/>
      <c r="L26" s="184">
        <f>+F23</f>
        <v>124339646</v>
      </c>
      <c r="M26" s="180"/>
      <c r="N26" s="179"/>
      <c r="O26" s="181"/>
      <c r="P26" s="179">
        <v>1000</v>
      </c>
      <c r="R26" s="153"/>
    </row>
    <row r="27" spans="1:20" ht="15" customHeight="1">
      <c r="A27" s="185"/>
      <c r="B27" s="125" t="s">
        <v>62</v>
      </c>
      <c r="C27" s="126"/>
      <c r="D27" s="164" t="str">
        <f>+$D$4</f>
        <v>Sep-25</v>
      </c>
      <c r="E27" s="421" t="str">
        <f>+$E$16</f>
        <v>Sep-24</v>
      </c>
      <c r="F27" s="164" t="str">
        <f>+F16</f>
        <v>Dic-24</v>
      </c>
      <c r="H27" s="179" t="s">
        <v>25</v>
      </c>
      <c r="I27" s="179" t="s">
        <v>6</v>
      </c>
      <c r="J27" s="184">
        <f>-D24</f>
        <v>23608532</v>
      </c>
      <c r="K27" s="180"/>
      <c r="L27" s="184">
        <f>-F24</f>
        <v>34306718</v>
      </c>
      <c r="M27" s="180"/>
      <c r="N27" s="179"/>
      <c r="O27" s="181"/>
      <c r="P27" s="179"/>
      <c r="Q27" s="161"/>
      <c r="R27" s="153"/>
      <c r="T27" s="161"/>
    </row>
    <row r="28" spans="1:20" ht="15" customHeight="1">
      <c r="B28" s="138" t="s">
        <v>48</v>
      </c>
      <c r="C28" s="139" t="s">
        <v>4</v>
      </c>
      <c r="D28" s="186">
        <f>+Flujo!D22</f>
        <v>268455458</v>
      </c>
      <c r="E28" s="186">
        <f>+Flujo!E22</f>
        <v>228032403</v>
      </c>
      <c r="F28" s="402">
        <f>[4]Cálculos!D28</f>
        <v>282203771</v>
      </c>
      <c r="H28" s="179" t="s">
        <v>26</v>
      </c>
      <c r="I28" s="179" t="s">
        <v>6</v>
      </c>
      <c r="J28" s="184">
        <f>-D21</f>
        <v>41423467</v>
      </c>
      <c r="K28" s="180"/>
      <c r="L28" s="184">
        <f>-F21</f>
        <v>49334397</v>
      </c>
      <c r="M28" s="180"/>
      <c r="N28" s="180"/>
      <c r="O28" s="181"/>
      <c r="P28" s="180"/>
      <c r="Q28" s="123"/>
      <c r="R28" s="153"/>
      <c r="T28" s="123"/>
    </row>
    <row r="29" spans="1:20" ht="15" customHeight="1">
      <c r="A29" s="187"/>
      <c r="B29" s="138" t="s">
        <v>49</v>
      </c>
      <c r="C29" s="139" t="s">
        <v>4</v>
      </c>
      <c r="D29" s="186">
        <f>+Flujo!D47</f>
        <v>-128857881</v>
      </c>
      <c r="E29" s="186">
        <f>+Flujo!E47</f>
        <v>-136725925</v>
      </c>
      <c r="F29" s="402">
        <f>[4]Cálculos!D29</f>
        <v>-176341951</v>
      </c>
      <c r="H29" s="179" t="s">
        <v>58</v>
      </c>
      <c r="I29" s="179" t="s">
        <v>6</v>
      </c>
      <c r="J29" s="184">
        <f>-D25</f>
        <v>64792798</v>
      </c>
      <c r="K29" s="180"/>
      <c r="L29" s="184">
        <f>-F25</f>
        <v>82220591</v>
      </c>
      <c r="M29" s="180"/>
      <c r="N29" s="179"/>
      <c r="O29" s="181"/>
      <c r="P29" s="179"/>
      <c r="R29" s="153"/>
    </row>
    <row r="30" spans="1:20" ht="15" customHeight="1">
      <c r="A30" s="188"/>
      <c r="B30" s="138" t="s">
        <v>50</v>
      </c>
      <c r="C30" s="139" t="s">
        <v>4</v>
      </c>
      <c r="D30" s="186">
        <f>+Flujo!D64</f>
        <v>-54469483</v>
      </c>
      <c r="E30" s="186">
        <f>+Flujo!E64</f>
        <v>-125588146</v>
      </c>
      <c r="F30" s="402">
        <f>[4]Cálculos!D30</f>
        <v>-106260070</v>
      </c>
      <c r="H30" s="179" t="s">
        <v>59</v>
      </c>
      <c r="I30" s="179" t="s">
        <v>6</v>
      </c>
      <c r="J30" s="184">
        <f>-C68</f>
        <v>-1589</v>
      </c>
      <c r="K30" s="179"/>
      <c r="L30" s="184">
        <f>-E68</f>
        <v>-2008</v>
      </c>
      <c r="M30" s="179"/>
      <c r="N30" s="179"/>
      <c r="O30" s="181"/>
      <c r="P30" s="179"/>
      <c r="Q30" s="189"/>
      <c r="R30" s="153"/>
      <c r="T30" s="189"/>
    </row>
    <row r="31" spans="1:20" ht="15" customHeight="1">
      <c r="A31" s="188"/>
      <c r="B31" s="132" t="s">
        <v>24</v>
      </c>
      <c r="C31" s="139" t="s">
        <v>4</v>
      </c>
      <c r="D31" s="190">
        <f>SUM(D28:D30)</f>
        <v>85128094</v>
      </c>
      <c r="E31" s="190">
        <f>SUM(E28:E30)</f>
        <v>-34281668</v>
      </c>
      <c r="F31" s="403">
        <f>SUM(F28:F30)</f>
        <v>-398250</v>
      </c>
      <c r="H31" s="179" t="s">
        <v>29</v>
      </c>
      <c r="I31" s="179" t="s">
        <v>6</v>
      </c>
      <c r="J31" s="184">
        <v>0</v>
      </c>
      <c r="K31" s="180"/>
      <c r="L31" s="184">
        <v>0</v>
      </c>
      <c r="M31" s="180"/>
      <c r="N31" s="179"/>
      <c r="O31" s="181"/>
      <c r="P31" s="179"/>
      <c r="R31" s="153"/>
    </row>
    <row r="32" spans="1:20" ht="15" customHeight="1">
      <c r="A32" s="188"/>
      <c r="B32" s="138" t="s">
        <v>27</v>
      </c>
      <c r="C32" s="139" t="s">
        <v>4</v>
      </c>
      <c r="D32" s="186">
        <f>+Flujo!D69</f>
        <v>108758431</v>
      </c>
      <c r="E32" s="186">
        <f>+Flujo!E69</f>
        <v>109156681</v>
      </c>
      <c r="F32" s="402">
        <f t="shared" ref="F32" si="1">+E32</f>
        <v>109156681</v>
      </c>
      <c r="H32" s="191" t="s">
        <v>20</v>
      </c>
      <c r="I32" s="179"/>
      <c r="J32" s="192">
        <f>SUM(J26:J31)</f>
        <v>227128173</v>
      </c>
      <c r="K32" s="180"/>
      <c r="L32" s="192">
        <f>SUM(L26:L31)</f>
        <v>290199344</v>
      </c>
      <c r="M32" s="193">
        <f>ROUND((J32/L32)-1,4)</f>
        <v>-0.21729999999999999</v>
      </c>
      <c r="N32" s="180"/>
      <c r="O32" s="194"/>
      <c r="P32" s="179"/>
      <c r="R32" s="153"/>
    </row>
    <row r="33" spans="2:20" ht="15" customHeight="1" thickBot="1">
      <c r="B33" s="156" t="s">
        <v>28</v>
      </c>
      <c r="C33" s="195" t="s">
        <v>4</v>
      </c>
      <c r="D33" s="196">
        <f>+D32+D31</f>
        <v>193886525</v>
      </c>
      <c r="E33" s="196">
        <f>+E32+E31</f>
        <v>74875013</v>
      </c>
      <c r="F33" s="197">
        <f>+F32+F31</f>
        <v>108758431</v>
      </c>
      <c r="H33" s="191"/>
      <c r="I33" s="179"/>
      <c r="J33" s="180"/>
      <c r="K33" s="180"/>
      <c r="L33" s="180"/>
      <c r="M33" s="180"/>
      <c r="N33" s="180"/>
      <c r="O33" s="181"/>
      <c r="P33" s="179"/>
      <c r="Q33" s="198"/>
      <c r="R33" s="153"/>
      <c r="T33" s="198"/>
    </row>
    <row r="34" spans="2:20" ht="15" customHeight="1" thickBot="1">
      <c r="D34" s="373">
        <f>+D33-Balance!D6</f>
        <v>0</v>
      </c>
      <c r="E34" s="1"/>
      <c r="F34" s="373">
        <f>+F33-Balance!E6</f>
        <v>0</v>
      </c>
      <c r="H34" s="191"/>
      <c r="I34" s="179"/>
      <c r="J34" s="180"/>
      <c r="K34" s="199"/>
      <c r="L34" s="180"/>
      <c r="M34" s="199"/>
      <c r="N34" s="180"/>
      <c r="O34" s="194"/>
      <c r="P34" s="200"/>
      <c r="Q34" s="123"/>
      <c r="R34" s="153"/>
      <c r="T34" s="123"/>
    </row>
    <row r="35" spans="2:20" ht="15" customHeight="1">
      <c r="B35" s="201" t="s">
        <v>85</v>
      </c>
      <c r="C35" s="297" t="s">
        <v>304</v>
      </c>
      <c r="D35" s="420">
        <v>1170649938</v>
      </c>
      <c r="E35" s="153" t="s">
        <v>299</v>
      </c>
      <c r="F35" s="153"/>
      <c r="H35" s="191" t="s">
        <v>54</v>
      </c>
      <c r="I35" s="179"/>
      <c r="J35" s="180">
        <f>+D18</f>
        <v>520857684</v>
      </c>
      <c r="K35" s="180"/>
      <c r="L35" s="180">
        <f>+E18</f>
        <v>483314321</v>
      </c>
      <c r="M35" s="180"/>
      <c r="N35" s="180"/>
      <c r="O35" s="179"/>
      <c r="P35" s="200">
        <f>ROUND((J35/L35)-1,4)</f>
        <v>7.7700000000000005E-2</v>
      </c>
      <c r="R35" s="153"/>
    </row>
    <row r="36" spans="2:20" ht="15" customHeight="1" thickBot="1">
      <c r="B36" s="202" t="s">
        <v>224</v>
      </c>
      <c r="C36" s="405" t="str">
        <f>+C35</f>
        <v>30-09-2024</v>
      </c>
      <c r="D36" s="419">
        <v>2745539486</v>
      </c>
      <c r="E36" s="153" t="s">
        <v>299</v>
      </c>
      <c r="F36" s="153"/>
      <c r="H36" s="118"/>
      <c r="J36" s="205"/>
      <c r="K36" s="123"/>
      <c r="L36" s="205"/>
      <c r="M36" s="123"/>
      <c r="N36" s="123"/>
      <c r="P36" s="123"/>
      <c r="R36" s="153"/>
    </row>
    <row r="37" spans="2:20" ht="15" customHeight="1" thickBot="1">
      <c r="B37" s="202"/>
      <c r="C37" s="203"/>
      <c r="D37" s="204"/>
      <c r="E37" s="153"/>
      <c r="F37" s="153"/>
      <c r="H37" s="136" t="s">
        <v>30</v>
      </c>
      <c r="J37" s="123"/>
      <c r="K37" s="123"/>
      <c r="L37" s="123"/>
      <c r="M37" s="123"/>
      <c r="P37" s="123"/>
      <c r="Q37" s="161"/>
      <c r="R37" s="161" t="s">
        <v>0</v>
      </c>
      <c r="T37" s="161"/>
    </row>
    <row r="38" spans="2:20" ht="15" customHeight="1">
      <c r="B38" s="202"/>
      <c r="C38" s="203"/>
      <c r="D38" s="206"/>
      <c r="E38" s="153"/>
      <c r="F38" s="153"/>
      <c r="H38" s="118" t="s">
        <v>31</v>
      </c>
      <c r="J38" s="123"/>
      <c r="K38" s="123"/>
      <c r="L38" s="123"/>
      <c r="M38" s="123"/>
      <c r="O38" s="207"/>
      <c r="P38" s="119"/>
      <c r="R38" s="153"/>
    </row>
    <row r="39" spans="2:20" ht="15" customHeight="1" thickBot="1">
      <c r="B39" s="208"/>
      <c r="C39" s="209"/>
      <c r="D39" s="210"/>
      <c r="H39" s="143" t="s">
        <v>32</v>
      </c>
      <c r="I39" s="119" t="s">
        <v>6</v>
      </c>
      <c r="J39" s="144">
        <f>Annualized!C6</f>
        <v>130242495</v>
      </c>
      <c r="K39" s="160">
        <f>ROUND(J39/J40,4)*100</f>
        <v>10.39</v>
      </c>
      <c r="L39" s="144">
        <f>+E70</f>
        <v>124339646</v>
      </c>
      <c r="M39" s="160">
        <f>ROUND(L39/L40,4)*100</f>
        <v>11.42</v>
      </c>
      <c r="N39" s="161"/>
      <c r="O39" s="147">
        <f>ROUND((K39/M39)-1,4)</f>
        <v>-9.0200000000000002E-2</v>
      </c>
      <c r="P39" s="148">
        <f>ROUND((J39/L39)-1,3)</f>
        <v>4.7E-2</v>
      </c>
      <c r="Q39" s="123">
        <f>+J39-L39</f>
        <v>5902849</v>
      </c>
      <c r="R39" s="211"/>
    </row>
    <row r="40" spans="2:20" ht="15" customHeight="1" thickBot="1">
      <c r="H40" s="119" t="s">
        <v>77</v>
      </c>
      <c r="I40" s="119" t="s">
        <v>0</v>
      </c>
      <c r="J40" s="123">
        <f>ROUND((D13+D35)/2,0)</f>
        <v>1253364698</v>
      </c>
      <c r="K40" s="123"/>
      <c r="L40" s="123">
        <f>ROUND((E13+F13)/2,0)</f>
        <v>1089087390</v>
      </c>
      <c r="M40" s="123"/>
      <c r="O40" s="211"/>
      <c r="P40" s="148">
        <f>ROUND((J40/L40)-1,3)</f>
        <v>0.151</v>
      </c>
      <c r="Q40" s="123">
        <f>+J40-L40</f>
        <v>164277308</v>
      </c>
      <c r="R40" s="153"/>
    </row>
    <row r="41" spans="2:20" ht="15" customHeight="1">
      <c r="B41" s="348" t="s">
        <v>215</v>
      </c>
      <c r="C41" s="424" t="s">
        <v>305</v>
      </c>
      <c r="D41" s="425" t="s">
        <v>297</v>
      </c>
      <c r="H41" s="118" t="s">
        <v>33</v>
      </c>
      <c r="J41" s="123"/>
      <c r="K41" s="123"/>
      <c r="L41" s="123"/>
      <c r="M41" s="123"/>
      <c r="O41" s="207"/>
      <c r="P41" s="212"/>
      <c r="Q41" s="211"/>
      <c r="R41" s="153"/>
    </row>
    <row r="42" spans="2:20" ht="15" customHeight="1">
      <c r="B42" s="429">
        <v>45429</v>
      </c>
      <c r="C42" s="430"/>
      <c r="D42" s="431">
        <v>14.46954</v>
      </c>
      <c r="H42" s="143" t="s">
        <v>32</v>
      </c>
      <c r="I42" s="119" t="s">
        <v>6</v>
      </c>
      <c r="J42" s="144">
        <f>+J39</f>
        <v>130242495</v>
      </c>
      <c r="K42" s="160">
        <f>ROUND(J42/J43,4)*100</f>
        <v>4.42</v>
      </c>
      <c r="L42" s="144">
        <f>+L39</f>
        <v>124339646</v>
      </c>
      <c r="M42" s="160">
        <f>ROUND(L42/L43,4)*100</f>
        <v>4.5699999999999994</v>
      </c>
      <c r="N42" s="161"/>
      <c r="O42" s="147">
        <f>ROUND((K42/M42)-1,4)</f>
        <v>-3.2800000000000003E-2</v>
      </c>
      <c r="P42" s="148">
        <f>ROUND((J42/L42)-1,3)</f>
        <v>4.7E-2</v>
      </c>
      <c r="Q42" s="123">
        <f>+J42-L42</f>
        <v>5902849</v>
      </c>
    </row>
    <row r="43" spans="2:20" ht="15" customHeight="1">
      <c r="B43" s="429">
        <v>45667</v>
      </c>
      <c r="C43" s="430">
        <v>6.3</v>
      </c>
      <c r="D43" s="431"/>
      <c r="H43" s="119" t="s">
        <v>34</v>
      </c>
      <c r="I43" s="119" t="s">
        <v>0</v>
      </c>
      <c r="J43" s="213">
        <f>ROUND((+D8+D36)/2,0)</f>
        <v>2948426558</v>
      </c>
      <c r="K43" s="123"/>
      <c r="L43" s="213">
        <f>ROUND((E8+F8)/2,0)</f>
        <v>2720753532</v>
      </c>
      <c r="M43" s="123"/>
      <c r="N43" s="173"/>
      <c r="O43" s="211"/>
      <c r="P43" s="148">
        <f>ROUND((J43/L43)-1,3)</f>
        <v>8.4000000000000005E-2</v>
      </c>
      <c r="Q43" s="123">
        <f>+J43-L43</f>
        <v>227673026</v>
      </c>
    </row>
    <row r="44" spans="2:20" ht="15" customHeight="1">
      <c r="B44" s="429">
        <v>45775</v>
      </c>
      <c r="C44" s="430">
        <v>7.9242600000000003</v>
      </c>
      <c r="D44" s="431"/>
      <c r="H44" s="118" t="s">
        <v>35</v>
      </c>
      <c r="J44" s="123"/>
      <c r="K44" s="123"/>
      <c r="L44" s="123"/>
      <c r="M44" s="123"/>
      <c r="P44" s="214"/>
    </row>
    <row r="45" spans="2:20" ht="15" customHeight="1">
      <c r="B45" s="345"/>
      <c r="C45" s="430"/>
      <c r="D45" s="431"/>
      <c r="H45" s="143" t="s">
        <v>36</v>
      </c>
      <c r="I45" s="119" t="s">
        <v>6</v>
      </c>
      <c r="J45" s="144">
        <f>+J42*1000</f>
        <v>130242495000</v>
      </c>
      <c r="K45" s="145">
        <f>ROUND(J45/J46,2)</f>
        <v>21.29</v>
      </c>
      <c r="L45" s="144">
        <f>+L39*1000</f>
        <v>124339646000</v>
      </c>
      <c r="M45" s="145">
        <f>ROUND(L45/L46,2)</f>
        <v>20.32</v>
      </c>
      <c r="N45" s="189"/>
      <c r="O45" s="147">
        <f>ROUND((K45/M45)-1,4)</f>
        <v>4.7699999999999999E-2</v>
      </c>
      <c r="P45" s="148">
        <f>ROUND((J45/L45)-1,3)</f>
        <v>4.7E-2</v>
      </c>
    </row>
    <row r="46" spans="2:20" ht="15" customHeight="1" thickBot="1">
      <c r="B46" s="346"/>
      <c r="C46" s="349">
        <f>SUM(C42:C45)</f>
        <v>14.224260000000001</v>
      </c>
      <c r="D46" s="347">
        <f>SUM(D42:D45)</f>
        <v>14.46954</v>
      </c>
      <c r="E46" s="215"/>
      <c r="H46" s="119" t="s">
        <v>37</v>
      </c>
      <c r="J46" s="216">
        <v>6118965160</v>
      </c>
      <c r="K46" s="123"/>
      <c r="L46" s="216">
        <v>6118965160</v>
      </c>
      <c r="M46" s="123"/>
      <c r="P46" s="148">
        <f>ROUND((J46/L46)-1,3)</f>
        <v>0</v>
      </c>
    </row>
    <row r="47" spans="2:20" ht="15" customHeight="1">
      <c r="E47" s="215"/>
      <c r="M47" s="123"/>
      <c r="P47" s="148"/>
    </row>
    <row r="48" spans="2:20" ht="15" customHeight="1" thickBot="1">
      <c r="C48" s="217"/>
      <c r="D48" s="217"/>
      <c r="E48" s="217"/>
      <c r="H48" s="118" t="s">
        <v>38</v>
      </c>
      <c r="J48" s="123"/>
      <c r="K48" s="123"/>
      <c r="L48" s="218"/>
      <c r="M48" s="123"/>
      <c r="O48" s="207"/>
    </row>
    <row r="49" spans="2:16" ht="15" customHeight="1">
      <c r="B49" s="350" t="s">
        <v>163</v>
      </c>
      <c r="C49" s="351" t="str">
        <f>+$D$4</f>
        <v>Sep-25</v>
      </c>
      <c r="D49" s="351" t="s">
        <v>300</v>
      </c>
      <c r="E49" s="422" t="s">
        <v>296</v>
      </c>
      <c r="H49" s="143" t="s">
        <v>39</v>
      </c>
      <c r="I49" s="119" t="s">
        <v>6</v>
      </c>
      <c r="J49" s="219">
        <f>+C46</f>
        <v>14.224260000000001</v>
      </c>
      <c r="K49" s="160">
        <f>ROUND(J49/J50,4)*100</f>
        <v>3.9</v>
      </c>
      <c r="L49" s="220">
        <f>+D46</f>
        <v>14.46954</v>
      </c>
      <c r="M49" s="160">
        <f>ROUND(L49/L50,4)*100</f>
        <v>4.83</v>
      </c>
      <c r="N49" s="198"/>
      <c r="O49" s="147">
        <f>ROUND((K49/M49)-1,4)</f>
        <v>-0.1925</v>
      </c>
      <c r="P49" s="148">
        <f>ROUND((J49/L49)-1,3)</f>
        <v>-1.7000000000000001E-2</v>
      </c>
    </row>
    <row r="50" spans="2:16" ht="15" customHeight="1">
      <c r="B50" s="352" t="s">
        <v>86</v>
      </c>
      <c r="C50" s="166">
        <f>+Resultado!D5</f>
        <v>520857684</v>
      </c>
      <c r="D50" s="166">
        <f>+Resultado!E5</f>
        <v>483314321</v>
      </c>
      <c r="E50" s="407">
        <f>+[3]Cálculos!C50</f>
        <v>662701294</v>
      </c>
      <c r="F50" s="221"/>
      <c r="H50" s="119" t="s">
        <v>40</v>
      </c>
      <c r="J50" s="222">
        <f>+'Valor acción'!B28</f>
        <v>365</v>
      </c>
      <c r="K50" s="173" t="s">
        <v>0</v>
      </c>
      <c r="L50" s="222">
        <f>+'Valor acción'!E28</f>
        <v>299.5</v>
      </c>
      <c r="M50" s="173" t="s">
        <v>0</v>
      </c>
      <c r="N50" s="223"/>
      <c r="O50" s="211"/>
      <c r="P50" s="148">
        <f>ROUND((J50/L50)-1,3)</f>
        <v>0.219</v>
      </c>
    </row>
    <row r="51" spans="2:16" ht="15" customHeight="1">
      <c r="B51" s="352" t="s">
        <v>87</v>
      </c>
      <c r="C51" s="166">
        <f>+Resultado!D6</f>
        <v>-66129210</v>
      </c>
      <c r="D51" s="166">
        <f>+Resultado!E6</f>
        <v>-61764843</v>
      </c>
      <c r="E51" s="407">
        <f>+[3]Cálculos!C51</f>
        <v>-82122248</v>
      </c>
      <c r="F51" s="221"/>
      <c r="P51" s="214"/>
    </row>
    <row r="52" spans="2:16" ht="15" customHeight="1">
      <c r="B52" s="352" t="s">
        <v>78</v>
      </c>
      <c r="C52" s="166">
        <f>+Resultado!D7</f>
        <v>-65341044</v>
      </c>
      <c r="D52" s="166">
        <f>+Resultado!E7</f>
        <v>-60663659</v>
      </c>
      <c r="E52" s="407">
        <f>+[3]Cálculos!C52</f>
        <v>-83142518</v>
      </c>
      <c r="F52" s="221"/>
      <c r="J52" s="217"/>
      <c r="M52" s="224"/>
    </row>
    <row r="53" spans="2:16" ht="15" customHeight="1">
      <c r="B53" s="352" t="s">
        <v>79</v>
      </c>
      <c r="C53" s="166">
        <f>+Resultado!D8</f>
        <v>-64792798</v>
      </c>
      <c r="D53" s="166">
        <f>+Resultado!E8</f>
        <v>-60798649</v>
      </c>
      <c r="E53" s="407">
        <f>+[3]Cálculos!C53</f>
        <v>-82220591</v>
      </c>
      <c r="F53" s="221"/>
      <c r="J53" s="217"/>
    </row>
    <row r="54" spans="2:16" ht="15" customHeight="1">
      <c r="B54" s="352" t="s">
        <v>289</v>
      </c>
      <c r="C54" s="166">
        <f>+Resultado!D15</f>
        <v>0</v>
      </c>
      <c r="D54" s="166">
        <f>+Resultado!E15</f>
        <v>0</v>
      </c>
      <c r="E54" s="407">
        <f>+[3]Cálculos!C54</f>
        <v>-216645</v>
      </c>
      <c r="F54" s="221"/>
      <c r="J54" s="217"/>
    </row>
    <row r="55" spans="2:16" ht="15" customHeight="1">
      <c r="B55" s="352" t="s">
        <v>88</v>
      </c>
      <c r="C55" s="166">
        <f>+Resultado!D9</f>
        <v>-6743311</v>
      </c>
      <c r="D55" s="166">
        <f>+Resultado!E9</f>
        <v>-6550791</v>
      </c>
      <c r="E55" s="407">
        <f>+[3]Cálculos!C55</f>
        <v>-7163962</v>
      </c>
      <c r="F55" s="221"/>
      <c r="P55" s="225"/>
    </row>
    <row r="56" spans="2:16" ht="15" customHeight="1">
      <c r="B56" s="352" t="s">
        <v>89</v>
      </c>
      <c r="C56" s="166">
        <f>+Resultado!D10</f>
        <v>-128333710</v>
      </c>
      <c r="D56" s="166">
        <f>+Resultado!E10</f>
        <v>-119028718</v>
      </c>
      <c r="E56" s="407">
        <f>+[3]Cálculos!C56</f>
        <v>-164836148</v>
      </c>
      <c r="F56" s="221"/>
    </row>
    <row r="57" spans="2:16" ht="15" customHeight="1">
      <c r="B57" s="353" t="s">
        <v>64</v>
      </c>
      <c r="C57" s="170">
        <f>SUM(C50:C56)</f>
        <v>189517611</v>
      </c>
      <c r="D57" s="170">
        <f>SUM(D50:D56)</f>
        <v>174507661</v>
      </c>
      <c r="E57" s="408">
        <f>SUM(E50:E56)</f>
        <v>242999182</v>
      </c>
      <c r="F57" s="221"/>
      <c r="H57" s="226"/>
      <c r="I57" s="227"/>
      <c r="J57" s="228"/>
      <c r="K57" s="228"/>
      <c r="L57" s="228"/>
      <c r="M57" s="228"/>
      <c r="O57" s="229"/>
      <c r="P57" s="230"/>
    </row>
    <row r="58" spans="2:16" ht="15" customHeight="1">
      <c r="B58" s="352" t="s">
        <v>65</v>
      </c>
      <c r="C58" s="166">
        <f>+Resultado!D13</f>
        <v>10888883</v>
      </c>
      <c r="D58" s="166">
        <f>+Resultado!E13</f>
        <v>7604978</v>
      </c>
      <c r="E58" s="407">
        <f>+[3]Cálculos!C58</f>
        <v>10052956</v>
      </c>
      <c r="F58" s="221"/>
      <c r="H58" s="226"/>
      <c r="I58" s="227"/>
      <c r="J58" s="228"/>
      <c r="K58" s="228"/>
      <c r="L58" s="228"/>
      <c r="M58" s="228"/>
      <c r="O58" s="231"/>
    </row>
    <row r="59" spans="2:16" ht="15" customHeight="1">
      <c r="B59" s="352" t="s">
        <v>66</v>
      </c>
      <c r="C59" s="166">
        <f>+Resultado!D14</f>
        <v>-41423467</v>
      </c>
      <c r="D59" s="166">
        <f>+Resultado!E14</f>
        <v>-37232930</v>
      </c>
      <c r="E59" s="407">
        <f>+[3]Cálculos!C59</f>
        <v>-49334397</v>
      </c>
      <c r="F59" s="221"/>
      <c r="H59" s="227"/>
      <c r="I59" s="227"/>
      <c r="J59" s="228"/>
      <c r="K59" s="232"/>
      <c r="L59" s="228"/>
      <c r="M59" s="232"/>
      <c r="N59" s="198"/>
      <c r="O59" s="233"/>
      <c r="P59" s="234"/>
    </row>
    <row r="60" spans="2:16" ht="15" customHeight="1">
      <c r="B60" s="352" t="s">
        <v>67</v>
      </c>
      <c r="C60" s="166">
        <f>+Resultado!D16</f>
        <v>-176705</v>
      </c>
      <c r="D60" s="166">
        <f>+Resultado!E16</f>
        <v>269429</v>
      </c>
      <c r="E60" s="407">
        <f>+[3]Cálculos!C60</f>
        <v>349033</v>
      </c>
      <c r="F60" s="221"/>
      <c r="H60" s="227"/>
      <c r="I60" s="227"/>
      <c r="J60" s="228"/>
      <c r="K60" s="235"/>
      <c r="L60" s="228"/>
      <c r="M60" s="235"/>
      <c r="O60" s="231"/>
      <c r="P60" s="234"/>
    </row>
    <row r="61" spans="2:16" ht="15" customHeight="1">
      <c r="B61" s="352" t="s">
        <v>68</v>
      </c>
      <c r="C61" s="166">
        <f>+Resultado!D17</f>
        <v>-34944708</v>
      </c>
      <c r="D61" s="166">
        <f>+Resultado!E17</f>
        <v>-31381630</v>
      </c>
      <c r="E61" s="407">
        <f>+[3]Cálculos!C61</f>
        <v>-45945172</v>
      </c>
      <c r="F61" s="221"/>
      <c r="H61" s="226"/>
      <c r="I61" s="227"/>
      <c r="J61" s="228"/>
      <c r="K61" s="228"/>
      <c r="L61" s="228"/>
      <c r="M61" s="228"/>
      <c r="O61" s="231"/>
    </row>
    <row r="62" spans="2:16" ht="15" customHeight="1">
      <c r="B62" s="353" t="s">
        <v>69</v>
      </c>
      <c r="C62" s="170">
        <f>SUM(C58:C61)</f>
        <v>-65655997</v>
      </c>
      <c r="D62" s="170">
        <f>SUM(D58:D61)</f>
        <v>-60740153</v>
      </c>
      <c r="E62" s="408">
        <f>SUM(E58:E61)</f>
        <v>-84877580</v>
      </c>
      <c r="F62" s="221"/>
      <c r="H62" s="227"/>
      <c r="I62" s="236"/>
      <c r="J62" s="228"/>
      <c r="K62" s="232"/>
      <c r="L62" s="228"/>
      <c r="M62" s="232"/>
      <c r="N62" s="237"/>
      <c r="O62" s="233"/>
      <c r="P62" s="234"/>
    </row>
    <row r="63" spans="2:16" ht="15" customHeight="1">
      <c r="B63" s="352" t="s">
        <v>75</v>
      </c>
      <c r="C63" s="166">
        <f>+Resultado!D11</f>
        <v>-2946528</v>
      </c>
      <c r="D63" s="166">
        <f>+Resultado!E11</f>
        <v>1964976</v>
      </c>
      <c r="E63" s="407">
        <f>+[3]Cálculos!C63</f>
        <v>526770</v>
      </c>
      <c r="F63" s="221"/>
      <c r="H63" s="227"/>
      <c r="I63" s="227"/>
      <c r="J63" s="228"/>
      <c r="K63" s="235"/>
      <c r="L63" s="228"/>
      <c r="M63" s="235"/>
      <c r="N63" s="123"/>
      <c r="O63" s="231"/>
      <c r="P63" s="234"/>
    </row>
    <row r="64" spans="2:16" ht="15" customHeight="1">
      <c r="B64" s="352" t="s">
        <v>70</v>
      </c>
      <c r="C64" s="166"/>
      <c r="D64" s="166"/>
      <c r="E64" s="407"/>
      <c r="F64" s="221"/>
      <c r="H64" s="118"/>
      <c r="J64" s="123"/>
      <c r="K64" s="123"/>
      <c r="L64" s="123"/>
      <c r="M64" s="123"/>
      <c r="O64" s="231"/>
    </row>
    <row r="65" spans="2:13" ht="15" customHeight="1">
      <c r="B65" s="353" t="s">
        <v>71</v>
      </c>
      <c r="C65" s="170">
        <f>+C57+C62+C63+C64</f>
        <v>120915086</v>
      </c>
      <c r="D65" s="170">
        <f>+D57+D62+D63+D64</f>
        <v>115732484</v>
      </c>
      <c r="E65" s="408">
        <f>+E57+E62+E63+E64</f>
        <v>158648372</v>
      </c>
      <c r="F65" s="221"/>
      <c r="L65" s="238"/>
    </row>
    <row r="66" spans="2:13" ht="15" customHeight="1">
      <c r="B66" s="352" t="s">
        <v>72</v>
      </c>
      <c r="C66" s="166">
        <f>+Resultado!D20</f>
        <v>-23608532</v>
      </c>
      <c r="D66" s="166">
        <f>+Resultado!E20</f>
        <v>-24328925</v>
      </c>
      <c r="E66" s="407">
        <f>+[3]Cálculos!C66</f>
        <v>-34306718</v>
      </c>
      <c r="F66" s="221"/>
      <c r="K66" s="239"/>
      <c r="M66" s="239"/>
    </row>
    <row r="67" spans="2:13" ht="15" customHeight="1">
      <c r="B67" s="352" t="s">
        <v>234</v>
      </c>
      <c r="C67" s="166">
        <f>+Resultado!D22</f>
        <v>0</v>
      </c>
      <c r="D67" s="166">
        <f>+Resultado!E22</f>
        <v>0</v>
      </c>
      <c r="E67" s="407">
        <f>+[3]Cálculos!C67</f>
        <v>0</v>
      </c>
      <c r="F67" s="221"/>
      <c r="K67" s="239"/>
      <c r="M67" s="239"/>
    </row>
    <row r="68" spans="2:13" ht="15" customHeight="1">
      <c r="B68" s="352" t="s">
        <v>73</v>
      </c>
      <c r="C68" s="166">
        <f>+Resultado!D27</f>
        <v>1589</v>
      </c>
      <c r="D68" s="166">
        <f>+Resultado!E27</f>
        <v>1443</v>
      </c>
      <c r="E68" s="407">
        <f>+[3]Cálculos!C68</f>
        <v>2008</v>
      </c>
      <c r="F68" s="221"/>
    </row>
    <row r="69" spans="2:13" ht="15" customHeight="1">
      <c r="B69" s="354" t="s">
        <v>76</v>
      </c>
      <c r="C69" s="357">
        <f>+C65+C66+C67</f>
        <v>97306554</v>
      </c>
      <c r="D69" s="357">
        <f>+D65+D66+D67</f>
        <v>91403559</v>
      </c>
      <c r="E69" s="409">
        <f>+E65+E66+E67</f>
        <v>124341654</v>
      </c>
      <c r="F69" s="221"/>
    </row>
    <row r="70" spans="2:13" ht="15" customHeight="1" thickBot="1">
      <c r="B70" s="355" t="s">
        <v>74</v>
      </c>
      <c r="C70" s="356">
        <f>+C69-C68</f>
        <v>97304965</v>
      </c>
      <c r="D70" s="356">
        <f t="shared" ref="D70:E70" si="2">+D69-D68</f>
        <v>91402116</v>
      </c>
      <c r="E70" s="410">
        <f t="shared" si="2"/>
        <v>124339646</v>
      </c>
      <c r="F70" s="221"/>
    </row>
    <row r="71" spans="2:13" ht="15" customHeight="1">
      <c r="D71" s="221"/>
    </row>
    <row r="72" spans="2:13" ht="15" customHeight="1">
      <c r="D72" s="221"/>
    </row>
    <row r="73" spans="2:13" ht="15" customHeight="1">
      <c r="D73" s="221"/>
    </row>
    <row r="74" spans="2:13" ht="15" customHeight="1">
      <c r="C74" s="240"/>
    </row>
    <row r="77" spans="2:13" ht="15" customHeight="1">
      <c r="C77" s="221"/>
    </row>
    <row r="101" spans="10:14" ht="15" customHeight="1">
      <c r="J101" s="241"/>
      <c r="K101" s="241"/>
      <c r="M101" s="241"/>
      <c r="N101" s="241"/>
    </row>
    <row r="102" spans="10:14" ht="15" customHeight="1">
      <c r="J102" s="241"/>
      <c r="K102" s="241"/>
      <c r="M102" s="241"/>
      <c r="N102" s="241"/>
    </row>
    <row r="103" spans="10:14" ht="15" customHeight="1">
      <c r="J103" s="241"/>
      <c r="K103" s="241"/>
      <c r="M103" s="241"/>
      <c r="N103" s="241"/>
    </row>
    <row r="104" spans="10:14" ht="15" customHeight="1">
      <c r="J104" s="241"/>
      <c r="K104" s="241"/>
      <c r="M104" s="241"/>
      <c r="N104" s="241"/>
    </row>
    <row r="105" spans="10:14" ht="15" customHeight="1">
      <c r="J105" s="241"/>
      <c r="K105" s="241"/>
      <c r="M105" s="241"/>
      <c r="N105" s="241"/>
    </row>
    <row r="106" spans="10:14" ht="15" customHeight="1">
      <c r="J106" s="241"/>
      <c r="K106" s="241"/>
      <c r="M106" s="241"/>
      <c r="N106" s="241"/>
    </row>
    <row r="107" spans="10:14" ht="15" customHeight="1">
      <c r="J107" s="241"/>
      <c r="K107" s="241"/>
      <c r="L107" s="241"/>
      <c r="M107" s="241"/>
      <c r="N107" s="241"/>
    </row>
    <row r="108" spans="10:14" ht="15" customHeight="1">
      <c r="J108" s="241"/>
      <c r="K108" s="241"/>
      <c r="L108" s="241"/>
      <c r="M108" s="241"/>
      <c r="N108" s="241"/>
    </row>
    <row r="109" spans="10:14" ht="15" customHeight="1">
      <c r="J109" s="241"/>
      <c r="K109" s="241"/>
      <c r="L109" s="241"/>
      <c r="M109" s="241"/>
    </row>
    <row r="110" spans="10:14" ht="15" customHeight="1">
      <c r="J110" s="241"/>
      <c r="K110" s="241"/>
      <c r="L110" s="241"/>
      <c r="M110" s="241"/>
    </row>
    <row r="111" spans="10:14" ht="15" customHeight="1">
      <c r="J111" s="241"/>
      <c r="K111" s="241"/>
      <c r="L111" s="241"/>
      <c r="M111" s="241"/>
    </row>
    <row r="112" spans="10:14" ht="15" customHeight="1">
      <c r="J112" s="241"/>
      <c r="K112" s="241"/>
      <c r="L112" s="241"/>
      <c r="M112" s="241"/>
    </row>
    <row r="113" spans="10:13" ht="15" customHeight="1">
      <c r="J113" s="241"/>
      <c r="K113" s="241"/>
      <c r="L113" s="241"/>
      <c r="M113" s="241"/>
    </row>
    <row r="114" spans="10:13" ht="15" customHeight="1">
      <c r="J114" s="241"/>
      <c r="K114" s="241"/>
      <c r="L114" s="241"/>
      <c r="M114" s="241"/>
    </row>
    <row r="115" spans="10:13" ht="15" customHeight="1">
      <c r="J115" s="241"/>
      <c r="K115" s="241"/>
      <c r="L115" s="241"/>
      <c r="M115" s="241"/>
    </row>
    <row r="116" spans="10:13" ht="15" customHeight="1">
      <c r="J116" s="241"/>
      <c r="K116" s="241"/>
      <c r="L116" s="241"/>
      <c r="M116" s="241"/>
    </row>
    <row r="117" spans="10:13" ht="15" customHeight="1">
      <c r="J117" s="241"/>
      <c r="K117" s="241"/>
      <c r="L117" s="241"/>
      <c r="M117" s="241"/>
    </row>
    <row r="118" spans="10:13" ht="15" customHeight="1">
      <c r="J118" s="241"/>
      <c r="K118" s="241"/>
      <c r="L118" s="241"/>
      <c r="M118" s="241"/>
    </row>
    <row r="119" spans="10:13" ht="15" customHeight="1">
      <c r="J119" s="241"/>
      <c r="K119" s="241"/>
      <c r="L119" s="241"/>
      <c r="M119" s="241"/>
    </row>
    <row r="120" spans="10:13" ht="15" customHeight="1">
      <c r="J120" s="241"/>
      <c r="K120" s="241"/>
      <c r="L120" s="241"/>
      <c r="M120" s="241"/>
    </row>
    <row r="121" spans="10:13" ht="15" customHeight="1">
      <c r="J121" s="241"/>
      <c r="K121" s="241"/>
      <c r="L121" s="241"/>
      <c r="M121" s="241"/>
    </row>
    <row r="122" spans="10:13" ht="15" customHeight="1">
      <c r="J122" s="241"/>
      <c r="K122" s="241"/>
      <c r="L122" s="241"/>
      <c r="M122" s="241"/>
    </row>
    <row r="123" spans="10:13" ht="15" customHeight="1">
      <c r="J123" s="241"/>
      <c r="K123" s="241"/>
      <c r="M123" s="241"/>
    </row>
    <row r="124" spans="10:13" ht="15" customHeight="1">
      <c r="J124" s="241"/>
      <c r="K124" s="241"/>
      <c r="L124" s="241"/>
      <c r="M124" s="241"/>
    </row>
    <row r="125" spans="10:13" ht="15" customHeight="1">
      <c r="J125" s="241"/>
      <c r="K125" s="241"/>
      <c r="L125" s="241"/>
      <c r="M125" s="241"/>
    </row>
    <row r="126" spans="10:13" ht="15" customHeight="1">
      <c r="J126" s="241"/>
      <c r="K126" s="241"/>
      <c r="L126" s="241"/>
      <c r="M126" s="241"/>
    </row>
    <row r="127" spans="10:13" ht="15" customHeight="1">
      <c r="J127" s="241"/>
      <c r="K127" s="241"/>
      <c r="L127" s="241"/>
      <c r="M127" s="241"/>
    </row>
    <row r="128" spans="10:13" ht="15" customHeight="1">
      <c r="J128" s="241"/>
      <c r="K128" s="241"/>
      <c r="L128" s="241"/>
      <c r="M128" s="241"/>
    </row>
    <row r="129" spans="10:13" ht="15" customHeight="1">
      <c r="J129" s="241"/>
      <c r="K129" s="241"/>
      <c r="L129" s="241"/>
      <c r="M129" s="241"/>
    </row>
    <row r="130" spans="10:13" ht="15" customHeight="1">
      <c r="J130" s="241"/>
      <c r="K130" s="241"/>
      <c r="L130" s="241"/>
      <c r="M130" s="241"/>
    </row>
    <row r="131" spans="10:13" ht="15" customHeight="1">
      <c r="J131" s="241"/>
      <c r="K131" s="241"/>
      <c r="M131" s="241"/>
    </row>
    <row r="132" spans="10:13" ht="15" customHeight="1">
      <c r="J132" s="241"/>
      <c r="K132" s="241"/>
      <c r="M132" s="241"/>
    </row>
    <row r="133" spans="10:13" ht="15" customHeight="1">
      <c r="J133" s="241"/>
      <c r="K133" s="241"/>
      <c r="M133" s="241"/>
    </row>
    <row r="134" spans="10:13" ht="15" customHeight="1">
      <c r="J134" s="241"/>
      <c r="K134" s="241"/>
      <c r="M134" s="241"/>
    </row>
    <row r="135" spans="10:13" ht="15" customHeight="1">
      <c r="J135" s="241"/>
      <c r="K135" s="241"/>
      <c r="M135" s="241"/>
    </row>
    <row r="136" spans="10:13" ht="15" customHeight="1">
      <c r="J136" s="241"/>
      <c r="K136" s="241"/>
      <c r="M136" s="241"/>
    </row>
    <row r="137" spans="10:13" ht="15" customHeight="1">
      <c r="J137" s="241"/>
      <c r="K137" s="241"/>
      <c r="M137" s="241"/>
    </row>
    <row r="138" spans="10:13" ht="15" customHeight="1">
      <c r="J138" s="241"/>
      <c r="K138" s="241"/>
      <c r="M138" s="241"/>
    </row>
    <row r="139" spans="10:13" ht="15" customHeight="1">
      <c r="J139" s="241"/>
      <c r="K139" s="241"/>
      <c r="M139" s="241"/>
    </row>
    <row r="140" spans="10:13" ht="15" customHeight="1">
      <c r="J140" s="241"/>
      <c r="K140" s="241"/>
      <c r="M140" s="241"/>
    </row>
    <row r="141" spans="10:13" ht="15" customHeight="1">
      <c r="J141" s="241"/>
      <c r="K141" s="241"/>
      <c r="M141" s="241"/>
    </row>
    <row r="142" spans="10:13" ht="15" customHeight="1">
      <c r="J142" s="241"/>
      <c r="K142" s="241"/>
      <c r="M142" s="241"/>
    </row>
    <row r="143" spans="10:13" ht="15" customHeight="1">
      <c r="J143" s="241"/>
      <c r="K143" s="241"/>
      <c r="M143" s="241"/>
    </row>
    <row r="144" spans="10:13" ht="15" customHeight="1">
      <c r="J144" s="241"/>
      <c r="K144" s="241"/>
      <c r="M144" s="241"/>
    </row>
    <row r="145" spans="10:13" ht="15" customHeight="1">
      <c r="J145" s="241"/>
      <c r="K145" s="241"/>
      <c r="M145" s="241"/>
    </row>
    <row r="146" spans="10:13" ht="15" customHeight="1">
      <c r="J146" s="241"/>
      <c r="K146" s="241"/>
      <c r="M146" s="241"/>
    </row>
    <row r="147" spans="10:13" ht="15" customHeight="1">
      <c r="J147" s="241"/>
      <c r="K147" s="241"/>
      <c r="M147" s="241"/>
    </row>
    <row r="148" spans="10:13" ht="15" customHeight="1">
      <c r="J148" s="241"/>
      <c r="K148" s="241"/>
      <c r="M148" s="241"/>
    </row>
    <row r="149" spans="10:13" ht="15" customHeight="1">
      <c r="J149" s="211"/>
      <c r="K149" s="241"/>
      <c r="M149" s="241"/>
    </row>
    <row r="150" spans="10:13" ht="15" customHeight="1">
      <c r="J150" s="241"/>
      <c r="K150" s="241"/>
      <c r="M150" s="241"/>
    </row>
    <row r="151" spans="10:13" ht="15" customHeight="1">
      <c r="J151" s="241"/>
      <c r="K151" s="241"/>
      <c r="M151" s="241"/>
    </row>
    <row r="152" spans="10:13" ht="15" customHeight="1">
      <c r="J152" s="241"/>
      <c r="K152" s="241"/>
      <c r="M152" s="241"/>
    </row>
    <row r="153" spans="10:13" ht="15" customHeight="1">
      <c r="J153" s="241"/>
      <c r="K153" s="241"/>
      <c r="M153" s="241"/>
    </row>
    <row r="154" spans="10:13" ht="15" customHeight="1">
      <c r="J154" s="241"/>
      <c r="K154" s="241"/>
      <c r="L154" s="207"/>
      <c r="M154" s="241"/>
    </row>
    <row r="155" spans="10:13" ht="15" customHeight="1">
      <c r="J155" s="241"/>
      <c r="K155" s="241"/>
      <c r="L155" s="207"/>
      <c r="M155" s="241"/>
    </row>
    <row r="156" spans="10:13" ht="15" customHeight="1">
      <c r="J156" s="241"/>
      <c r="K156" s="241"/>
      <c r="L156" s="207"/>
      <c r="M156" s="241"/>
    </row>
    <row r="157" spans="10:13" ht="15" customHeight="1">
      <c r="J157" s="241"/>
      <c r="K157" s="241"/>
      <c r="L157" s="207"/>
      <c r="M157" s="241"/>
    </row>
    <row r="158" spans="10:13" ht="15" customHeight="1">
      <c r="J158" s="241"/>
      <c r="K158" s="241"/>
      <c r="L158" s="207"/>
      <c r="M158" s="241"/>
    </row>
    <row r="159" spans="10:13" ht="15" customHeight="1">
      <c r="J159" s="241"/>
      <c r="K159" s="241"/>
      <c r="L159" s="207"/>
      <c r="M159" s="241"/>
    </row>
    <row r="160" spans="10:13" ht="15" customHeight="1">
      <c r="J160" s="241"/>
      <c r="K160" s="241"/>
      <c r="L160" s="207"/>
      <c r="M160" s="241"/>
    </row>
    <row r="161" spans="10:13" ht="15" customHeight="1">
      <c r="J161" s="241"/>
      <c r="K161" s="241"/>
      <c r="L161" s="207"/>
      <c r="M161" s="241"/>
    </row>
    <row r="162" spans="10:13" ht="15" customHeight="1">
      <c r="L162" s="207"/>
    </row>
    <row r="163" spans="10:13" ht="15" customHeight="1">
      <c r="L163" s="207"/>
    </row>
    <row r="164" spans="10:13" ht="15" customHeight="1">
      <c r="L164" s="207"/>
    </row>
    <row r="165" spans="10:13" ht="15" customHeight="1">
      <c r="L165" s="207"/>
    </row>
    <row r="166" spans="10:13" ht="15" customHeight="1">
      <c r="L166" s="207"/>
    </row>
    <row r="185" spans="10:13" ht="15" customHeight="1">
      <c r="L185" s="121"/>
    </row>
    <row r="187" spans="10:13" ht="15" customHeight="1">
      <c r="J187" s="241"/>
      <c r="K187" s="241"/>
      <c r="L187" s="241"/>
      <c r="M187" s="241"/>
    </row>
    <row r="188" spans="10:13" ht="15" customHeight="1">
      <c r="J188" s="241"/>
      <c r="K188" s="241"/>
      <c r="L188" s="241"/>
      <c r="M188" s="241"/>
    </row>
    <row r="189" spans="10:13" ht="15" customHeight="1">
      <c r="J189" s="241"/>
      <c r="K189" s="241"/>
      <c r="L189" s="241"/>
      <c r="M189" s="241"/>
    </row>
    <row r="190" spans="10:13" ht="15" customHeight="1">
      <c r="J190" s="241"/>
      <c r="K190" s="241"/>
      <c r="L190" s="241"/>
      <c r="M190" s="241"/>
    </row>
    <row r="191" spans="10:13" ht="15" customHeight="1">
      <c r="J191" s="241"/>
      <c r="K191" s="241"/>
      <c r="L191" s="241"/>
      <c r="M191" s="241"/>
    </row>
    <row r="192" spans="10:13" ht="15" customHeight="1">
      <c r="J192" s="241"/>
      <c r="K192" s="241"/>
      <c r="L192" s="241"/>
      <c r="M192" s="241"/>
    </row>
    <row r="193" spans="10:13" ht="15" customHeight="1">
      <c r="J193" s="241"/>
      <c r="K193" s="241"/>
      <c r="L193" s="241"/>
      <c r="M193" s="241"/>
    </row>
    <row r="194" spans="10:13" ht="15" customHeight="1">
      <c r="J194" s="241"/>
      <c r="K194" s="241"/>
      <c r="L194" s="241"/>
      <c r="M194" s="241"/>
    </row>
    <row r="195" spans="10:13" ht="15" customHeight="1">
      <c r="J195" s="241"/>
      <c r="K195" s="241"/>
      <c r="L195" s="241"/>
      <c r="M195" s="241"/>
    </row>
    <row r="196" spans="10:13" ht="15" customHeight="1">
      <c r="J196" s="241"/>
      <c r="K196" s="241"/>
      <c r="L196" s="241"/>
      <c r="M196" s="241"/>
    </row>
    <row r="197" spans="10:13" ht="15" customHeight="1">
      <c r="J197" s="241"/>
      <c r="K197" s="241"/>
      <c r="M197" s="241"/>
    </row>
    <row r="198" spans="10:13" ht="15" customHeight="1">
      <c r="J198" s="241"/>
      <c r="K198" s="241"/>
      <c r="M198" s="241"/>
    </row>
    <row r="199" spans="10:13" ht="15" customHeight="1">
      <c r="J199" s="241"/>
      <c r="K199" s="241"/>
      <c r="M199" s="241"/>
    </row>
    <row r="200" spans="10:13" ht="15" customHeight="1">
      <c r="J200" s="241"/>
      <c r="K200" s="241"/>
      <c r="M200" s="241"/>
    </row>
    <row r="201" spans="10:13" ht="15" customHeight="1">
      <c r="J201" s="241"/>
      <c r="K201" s="241"/>
      <c r="M201" s="241"/>
    </row>
    <row r="202" spans="10:13" ht="15" customHeight="1">
      <c r="J202" s="241"/>
      <c r="K202" s="241"/>
      <c r="M202" s="241"/>
    </row>
    <row r="203" spans="10:13" ht="15" customHeight="1">
      <c r="J203" s="241"/>
      <c r="K203" s="241"/>
      <c r="M203" s="241"/>
    </row>
    <row r="204" spans="10:13" ht="15" customHeight="1">
      <c r="J204" s="241"/>
      <c r="K204" s="241"/>
      <c r="M204" s="241"/>
    </row>
    <row r="205" spans="10:13" ht="15" customHeight="1">
      <c r="J205" s="241"/>
      <c r="K205" s="241"/>
      <c r="M205" s="241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de7296aeec20a87435b77c86a52cc716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975f35628241f204d7acc6e228c80544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6CDEC898-5CEA-461A-A6B7-24BB91881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77B50-6832-4F57-A8A5-96362FFFB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07937C2F-948C-4A84-9359-F29EEAEFDE9E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Results</vt:lpstr>
      <vt:lpstr>Resultados por Segmento</vt:lpstr>
      <vt:lpstr>Resultados Trimestrales</vt:lpstr>
      <vt:lpstr>Statement of Financial Position</vt:lpstr>
      <vt:lpstr>Financial Debt</vt:lpstr>
      <vt:lpstr>Cash Flow</vt:lpstr>
      <vt:lpstr>Indicators</vt:lpstr>
      <vt:lpstr>Cálculos</vt:lpstr>
      <vt:lpstr>Annualized</vt:lpstr>
      <vt:lpstr>Resultado</vt:lpstr>
      <vt:lpstr>Balance</vt:lpstr>
      <vt:lpstr>Flujo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Melnick</dc:creator>
  <cp:lastModifiedBy>Tania Melnick</cp:lastModifiedBy>
  <cp:lastPrinted>2025-07-22T20:53:45Z</cp:lastPrinted>
  <dcterms:created xsi:type="dcterms:W3CDTF">2009-05-16T00:13:33Z</dcterms:created>
  <dcterms:modified xsi:type="dcterms:W3CDTF">2025-11-12T21:42:30Z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