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4/4Q/Traducciones/AA/"/>
    </mc:Choice>
  </mc:AlternateContent>
  <xr:revisionPtr revIDLastSave="80" documentId="13_ncr:1_{3E02D0FC-71BF-4CE7-9F93-B4595BC012D0}" xr6:coauthVersionLast="47" xr6:coauthVersionMax="47" xr10:uidLastSave="{A88B34E2-D8AA-476A-B7F3-A9C96629B345}"/>
  <bookViews>
    <workbookView xWindow="28680" yWindow="-120" windowWidth="29040" windowHeight="15720" tabRatio="904" firstSheet="1" activeTab="1" xr2:uid="{00000000-000D-0000-FFFF-FFFF00000000}"/>
  </bookViews>
  <sheets>
    <sheet name="BExRepositorySheet" sheetId="9" state="veryHidden" r:id="rId1"/>
    <sheet name="Resultados" sheetId="18" r:id="rId2"/>
    <sheet name="Resultados por Segmento" sheetId="29" r:id="rId3"/>
    <sheet name="Resultados Trimestrales" sheetId="30" state="hidden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Resultado" sheetId="12" state="hidden" r:id="rId9"/>
    <sheet name="Balance" sheetId="11" state="hidden" r:id="rId10"/>
    <sheet name="Flujo" sheetId="13" state="hidden" r:id="rId11"/>
    <sheet name="Valor acción" sheetId="28" state="hidden" r:id="rId12"/>
  </sheets>
  <externalReferences>
    <externalReference r:id="rId13"/>
  </externalReferences>
  <definedNames>
    <definedName name="_xlnm._FilterDatabase" localSheetId="10" hidden="1">Flujo!$B$2:$E$70</definedName>
    <definedName name="_Hlk47472038" localSheetId="2">'Resultados por Segmento'!$B$10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1">Resultados!#REF!</definedName>
    <definedName name="Base">#REF!</definedName>
    <definedName name="empresa">#REF!</definedName>
    <definedName name="ke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E69" i="13" l="1"/>
  <c r="D69" i="13"/>
  <c r="E68" i="13"/>
  <c r="D68" i="13"/>
  <c r="E67" i="13"/>
  <c r="D67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" i="13"/>
  <c r="D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D3" i="11"/>
  <c r="E25" i="11"/>
  <c r="E24" i="11"/>
  <c r="E23" i="11"/>
  <c r="E22" i="11"/>
  <c r="E21" i="11"/>
  <c r="E20" i="11"/>
  <c r="E19" i="11"/>
  <c r="E18" i="11"/>
  <c r="E17" i="11"/>
  <c r="D17" i="11"/>
  <c r="D25" i="11"/>
  <c r="D24" i="11"/>
  <c r="D23" i="11"/>
  <c r="D22" i="11"/>
  <c r="D21" i="11"/>
  <c r="D20" i="11"/>
  <c r="D19" i="11"/>
  <c r="D18" i="11"/>
  <c r="D22" i="13" l="1"/>
  <c r="E22" i="13"/>
  <c r="E70" i="13"/>
  <c r="D70" i="13"/>
  <c r="E4" i="13"/>
  <c r="D4" i="13"/>
  <c r="G27" i="12"/>
  <c r="F27" i="12"/>
  <c r="E27" i="12"/>
  <c r="D27" i="12"/>
  <c r="G20" i="12"/>
  <c r="F20" i="12"/>
  <c r="E20" i="12"/>
  <c r="D20" i="12"/>
  <c r="G17" i="12"/>
  <c r="F17" i="12"/>
  <c r="E17" i="12"/>
  <c r="D17" i="12"/>
  <c r="G16" i="12"/>
  <c r="F16" i="12"/>
  <c r="E16" i="12"/>
  <c r="D16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72" i="13" l="1"/>
  <c r="D13" i="30" l="1"/>
  <c r="C13" i="30"/>
  <c r="D12" i="30"/>
  <c r="C12" i="30"/>
  <c r="D11" i="30"/>
  <c r="C11" i="30"/>
  <c r="D9" i="30"/>
  <c r="C9" i="30"/>
  <c r="D7" i="30"/>
  <c r="C7" i="30"/>
  <c r="D4" i="30"/>
  <c r="C4" i="30"/>
  <c r="G62" i="11" l="1"/>
  <c r="D5" i="30"/>
  <c r="D6" i="30" s="1"/>
  <c r="D8" i="30" s="1"/>
  <c r="D14" i="30" s="1"/>
  <c r="C5" i="30"/>
  <c r="C6" i="30" s="1"/>
  <c r="C8" i="30" s="1"/>
  <c r="C14" i="30" s="1"/>
  <c r="G12" i="12"/>
  <c r="G19" i="12" s="1"/>
  <c r="G21" i="12" s="1"/>
  <c r="G24" i="12" s="1"/>
  <c r="G26" i="12" s="1"/>
  <c r="F12" i="12"/>
  <c r="F19" i="12" s="1"/>
  <c r="F21" i="12" s="1"/>
  <c r="F24" i="12" s="1"/>
  <c r="F26" i="12" s="1"/>
  <c r="D15" i="30" l="1"/>
  <c r="C15" i="30"/>
  <c r="F30" i="12"/>
  <c r="F31" i="12" s="1"/>
  <c r="F28" i="12"/>
  <c r="G30" i="12"/>
  <c r="G31" i="12" s="1"/>
  <c r="G28" i="12"/>
  <c r="G14" i="11" l="1"/>
  <c r="D13" i="11" l="1"/>
  <c r="G13" i="30" l="1"/>
  <c r="E13" i="30" s="1"/>
  <c r="G10" i="30" l="1"/>
  <c r="G12" i="30" l="1"/>
  <c r="E12" i="30" s="1"/>
  <c r="G9" i="30"/>
  <c r="E9" i="30" s="1"/>
  <c r="G7" i="30"/>
  <c r="E7" i="30" s="1"/>
  <c r="G4" i="30"/>
  <c r="E4" i="30" s="1"/>
  <c r="G11" i="30"/>
  <c r="E11" i="30" s="1"/>
  <c r="J69" i="13"/>
  <c r="G8" i="30" l="1"/>
  <c r="E8" i="30" s="1"/>
  <c r="G6" i="30"/>
  <c r="E6" i="30" s="1"/>
  <c r="G5" i="30"/>
  <c r="E5" i="30" s="1"/>
  <c r="K68" i="13" l="1"/>
  <c r="J53" i="13" l="1"/>
  <c r="G13" i="13"/>
  <c r="D47" i="13" l="1"/>
  <c r="E54" i="13" l="1"/>
  <c r="D54" i="13"/>
  <c r="D12" i="12" l="1"/>
  <c r="L22" i="12" l="1"/>
  <c r="M22" i="12" s="1"/>
  <c r="I22" i="12"/>
  <c r="J22" i="12" s="1"/>
  <c r="E47" i="13"/>
  <c r="I47" i="13" s="1"/>
  <c r="E12" i="12" l="1"/>
  <c r="E19" i="12" l="1"/>
  <c r="D19" i="12"/>
  <c r="H17" i="13" l="1"/>
  <c r="H16" i="13"/>
  <c r="I10" i="12" l="1"/>
  <c r="J10" i="12" s="1"/>
  <c r="I11" i="12"/>
  <c r="J11" i="12" s="1"/>
  <c r="I14" i="12"/>
  <c r="J14" i="12" s="1"/>
  <c r="I16" i="12"/>
  <c r="J16" i="12" s="1"/>
  <c r="I17" i="12"/>
  <c r="J17" i="12" s="1"/>
  <c r="E31" i="11"/>
  <c r="D31" i="11"/>
  <c r="I13" i="12" l="1"/>
  <c r="J13" i="12" s="1"/>
  <c r="G5" i="13" l="1"/>
  <c r="G6" i="13" l="1"/>
  <c r="E21" i="12" l="1"/>
  <c r="D21" i="12"/>
  <c r="D24" i="12" s="1"/>
  <c r="D26" i="12" s="1"/>
  <c r="D30" i="12" l="1"/>
  <c r="D31" i="12" s="1"/>
  <c r="E24" i="12"/>
  <c r="E26" i="12" s="1"/>
  <c r="E30" i="12" s="1"/>
  <c r="E31" i="12" s="1"/>
  <c r="E28" i="12" l="1"/>
  <c r="D28" i="12"/>
  <c r="I9" i="12" l="1"/>
  <c r="L9" i="12" l="1"/>
  <c r="M9" i="12" s="1"/>
  <c r="J9" i="12"/>
  <c r="G67" i="13" l="1"/>
  <c r="H67" i="13" s="1"/>
  <c r="G66" i="13"/>
  <c r="H66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7" i="12"/>
  <c r="J27" i="12" s="1"/>
  <c r="I20" i="12"/>
  <c r="J20" i="12" s="1"/>
  <c r="I8" i="12"/>
  <c r="J8" i="12" s="1"/>
  <c r="I7" i="12"/>
  <c r="J7" i="12" s="1"/>
  <c r="I6" i="12"/>
  <c r="J6" i="12" s="1"/>
  <c r="I5" i="12"/>
  <c r="J5" i="12" l="1"/>
  <c r="L8" i="12"/>
  <c r="M8" i="12" s="1"/>
  <c r="L27" i="12"/>
  <c r="M27" i="12" s="1"/>
  <c r="L6" i="12"/>
  <c r="M6" i="12" s="1"/>
  <c r="L20" i="12"/>
  <c r="M20" i="12" s="1"/>
  <c r="L14" i="12"/>
  <c r="M14" i="12" s="1"/>
  <c r="L16" i="12"/>
  <c r="M16" i="12" s="1"/>
  <c r="L11" i="12"/>
  <c r="M11" i="12" s="1"/>
  <c r="L13" i="12"/>
  <c r="M13" i="12" s="1"/>
  <c r="L5" i="12"/>
  <c r="M5" i="12" s="1"/>
  <c r="L10" i="12"/>
  <c r="M10" i="12" s="1"/>
  <c r="L21" i="12" l="1"/>
  <c r="M21" i="12" s="1"/>
  <c r="L7" i="12"/>
  <c r="M7" i="12" s="1"/>
  <c r="L17" i="12"/>
  <c r="M17" i="12" s="1"/>
  <c r="G14" i="30" l="1"/>
  <c r="E14" i="30" s="1"/>
  <c r="L28" i="12"/>
  <c r="M28" i="12" s="1"/>
  <c r="L24" i="12"/>
  <c r="M24" i="12" s="1"/>
  <c r="I19" i="12" l="1"/>
  <c r="L19" i="12" l="1"/>
  <c r="M19" i="12" s="1"/>
  <c r="J19" i="12"/>
  <c r="I21" i="12"/>
  <c r="J21" i="12" s="1"/>
  <c r="I24" i="12" l="1"/>
  <c r="J24" i="12" s="1"/>
  <c r="I26" i="12" l="1"/>
  <c r="J26" i="12" s="1"/>
  <c r="I28" i="12"/>
  <c r="J28" i="12" s="1"/>
  <c r="L26" i="12" l="1"/>
  <c r="M26" i="12" s="1"/>
  <c r="D26" i="11" l="1"/>
  <c r="D15" i="11"/>
  <c r="D54" i="11" l="1"/>
  <c r="D42" i="11"/>
  <c r="D63" i="11"/>
  <c r="D65" i="11" l="1"/>
  <c r="D28" i="11"/>
  <c r="D44" i="11"/>
  <c r="D56" i="11" l="1"/>
  <c r="D67" i="11" l="1"/>
  <c r="D69" i="11" s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G42" i="11"/>
  <c r="H42" i="11" s="1"/>
  <c r="G54" i="11"/>
  <c r="H54" i="11" s="1"/>
  <c r="G26" i="11"/>
  <c r="H26" i="11" s="1"/>
  <c r="E28" i="11"/>
  <c r="G28" i="11" s="1"/>
  <c r="H28" i="11" s="1"/>
  <c r="E65" i="11"/>
  <c r="G65" i="11" s="1"/>
  <c r="H65" i="11" s="1"/>
  <c r="H63" i="11"/>
  <c r="E56" i="11"/>
  <c r="G44" i="11"/>
  <c r="H44" i="11" s="1"/>
  <c r="E67" i="11" l="1"/>
  <c r="G56" i="11"/>
  <c r="H56" i="11" s="1"/>
  <c r="E69" i="11" l="1"/>
  <c r="G67" i="11"/>
  <c r="H67" i="11" s="1"/>
  <c r="D64" i="13" l="1"/>
  <c r="D65" i="13" s="1"/>
  <c r="G62" i="13" l="1"/>
  <c r="H62" i="13" s="1"/>
  <c r="E64" i="13"/>
  <c r="G63" i="13"/>
  <c r="H63" i="13" s="1"/>
  <c r="G64" i="13" l="1"/>
  <c r="H64" i="13" s="1"/>
  <c r="G69" i="13" l="1"/>
  <c r="H69" i="13" s="1"/>
  <c r="G14" i="13" l="1"/>
  <c r="H14" i="13" s="1"/>
  <c r="G10" i="13" l="1"/>
  <c r="H10" i="13" s="1"/>
  <c r="G15" i="13" l="1"/>
  <c r="H15" i="13" s="1"/>
  <c r="G22" i="13" l="1"/>
  <c r="H22" i="13" s="1"/>
  <c r="E65" i="13"/>
  <c r="G65" i="13" s="1"/>
  <c r="H65" i="13" s="1"/>
  <c r="G68" i="13" l="1"/>
  <c r="H68" i="13" s="1"/>
  <c r="D72" i="13"/>
  <c r="G70" i="13"/>
  <c r="H70" i="13" s="1"/>
</calcChain>
</file>

<file path=xl/sharedStrings.xml><?xml version="1.0" encoding="utf-8"?>
<sst xmlns="http://schemas.openxmlformats.org/spreadsheetml/2006/main" count="426" uniqueCount="298">
  <si>
    <t>Pasivos corrientes</t>
  </si>
  <si>
    <t>Pasivos no corrientes</t>
  </si>
  <si>
    <t>Activos corrientes</t>
  </si>
  <si>
    <t>Activos no corrientes</t>
  </si>
  <si>
    <t xml:space="preserve"> 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</si>
  <si>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</si>
  <si>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</si>
  <si>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</si>
  <si>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</si>
  <si>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</si>
  <si>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</si>
  <si>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</si>
  <si>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</si>
  <si>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</si>
  <si>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</si>
  <si>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</si>
  <si>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</si>
  <si>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</si>
  <si>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Gastos por beneficios a los empleados</t>
  </si>
  <si>
    <t>Otros gastos, por naturaleza</t>
  </si>
  <si>
    <t>Patrimonio atribuible a los propietarios de la controladora</t>
  </si>
  <si>
    <t>Participaciones no controladoras</t>
  </si>
  <si>
    <t>Ingresos financieros</t>
  </si>
  <si>
    <t>Materias primas y consumibles utilizados</t>
  </si>
  <si>
    <t>Ganancia atribuible a los propietarios de la controladora</t>
  </si>
  <si>
    <t>ACTIVOS</t>
  </si>
  <si>
    <t>Nota</t>
  </si>
  <si>
    <t>ACTIVOS CORRIENTES</t>
  </si>
  <si>
    <t>Efectivo y equivalentes al efectivo</t>
  </si>
  <si>
    <t>Otros activos no financieros</t>
  </si>
  <si>
    <t>Deudores comerciales y otras cuentas por cobrar</t>
  </si>
  <si>
    <t>Cuentas por cobrar a entidades relacionadas</t>
  </si>
  <si>
    <t>Inventarios</t>
  </si>
  <si>
    <t>Total de activos corrientes distintos de los activos o grupos de activos para su disposición clasificados como mantenidos para la venta o como mantenidos para distribuir a los propietarios</t>
  </si>
  <si>
    <t>ACTIVOS CORRIENTES TOTALES</t>
  </si>
  <si>
    <t>Activos intangibles distintos de la plusvalía</t>
  </si>
  <si>
    <t>TOTAL DE ACTIVOS NO CORRIENTES</t>
  </si>
  <si>
    <t>PATRIMONIO Y PASIVOS</t>
  </si>
  <si>
    <t>PASIVOS CORRIENTES</t>
  </si>
  <si>
    <t>Cuentas por pagar a entidades relacionadas</t>
  </si>
  <si>
    <t>Pasivos por impuestos</t>
  </si>
  <si>
    <t>PASIVOS CORRIENTES TOTALES</t>
  </si>
  <si>
    <t>PASIVOS NO CORRIENTES</t>
  </si>
  <si>
    <t>Otras provisiones</t>
  </si>
  <si>
    <t>Pasivo por impuestos diferidos</t>
  </si>
  <si>
    <t>Otras cuentas por pagar</t>
  </si>
  <si>
    <t>TOTAL PASIVOS</t>
  </si>
  <si>
    <t>Otras participaciones en el patrimonio</t>
  </si>
  <si>
    <t>Ganancia</t>
  </si>
  <si>
    <t xml:space="preserve">Ganancia </t>
  </si>
  <si>
    <t xml:space="preserve">Ganancias por acción básica </t>
  </si>
  <si>
    <t>Cobros procedentes de las ventas de bienes y prestación de servicios</t>
  </si>
  <si>
    <t>Cobros procedentes de contratos mantenidos con propósitos de intermediación o para negociar</t>
  </si>
  <si>
    <t>Cobros procedentes de regalías, cuotas, comisiones y otros ingresos de actividades ordinarias</t>
  </si>
  <si>
    <t>Cobros procedentes de primas y prestaciones, anualidades y otros beneficios de pólizas suscritas</t>
  </si>
  <si>
    <t>Otros cobros por actividades de operación</t>
  </si>
  <si>
    <t>Pagos a proveedores por el suministro de bienes y servicios</t>
  </si>
  <si>
    <t>Pagos procedentes de contratos mantenidos para intermediación o para negociar</t>
  </si>
  <si>
    <t>Pagos a y por cuenta de los empleados</t>
  </si>
  <si>
    <t>Pagos por primas y prestaciones, anualidades y otras obligaciones derivadas de las pólizas suscritas</t>
  </si>
  <si>
    <t>Otros pagos por actividades de operación</t>
  </si>
  <si>
    <t>Dividendos pagados</t>
  </si>
  <si>
    <t>Dividendos recibidos</t>
  </si>
  <si>
    <t>Intereses pagados</t>
  </si>
  <si>
    <t>Intereses recibidos</t>
  </si>
  <si>
    <t>Flujos de efectivo procedentes de la pérdida de control de subsidiarias u otros negocios</t>
  </si>
  <si>
    <t>Flujos de efectivo utilizados para obtener el control de subsidiarias u otros negocios</t>
  </si>
  <si>
    <t>Flujos de efectivo utilizados en la compra de participaciones no controladoras</t>
  </si>
  <si>
    <t>Otros cobros por la venta de patrimonio o instrumentos de deuda de otras entidades</t>
  </si>
  <si>
    <t>Otros pagos para adquirir patrimonio o instrumentos de deuda de otras entidades</t>
  </si>
  <si>
    <t>Otros cobros por la venta de participaciones en negocios conjuntos</t>
  </si>
  <si>
    <t>Otros pagos para adquirir participaciones en negocios conjuntos</t>
  </si>
  <si>
    <t>Préstamos a entidades relacionadas</t>
  </si>
  <si>
    <t>Compras de propiedades, planta y equipo</t>
  </si>
  <si>
    <t>Compras de activos intangibles</t>
  </si>
  <si>
    <t>Compras de otros activos a largo plazo</t>
  </si>
  <si>
    <t>Importes procedentes de subvenciones del gobierno</t>
  </si>
  <si>
    <t>Anticipos de efectivo y préstamos concedidos a terceros</t>
  </si>
  <si>
    <t>Cobros procedentes del reembolso de anticipos y préstamos concedidos a terceros</t>
  </si>
  <si>
    <t>Pagos derivados de contratos de futuro, a término, de opciones y de permuta financiera</t>
  </si>
  <si>
    <t>Cobros procedentes de contratos de futuro, a término, de opciones y de permuta financiera</t>
  </si>
  <si>
    <t>Impuestos a las ganancias reembolsados (pagados)</t>
  </si>
  <si>
    <t>Otras entradas (salidas) de efectivo</t>
  </si>
  <si>
    <t>Importes procedentes de la emisión de acciones</t>
  </si>
  <si>
    <t>Importes procedentes de la emisión de otros instrumentos de patrimonio</t>
  </si>
  <si>
    <t>Pagos por adquirir o rescatar las acciones de la entidad</t>
  </si>
  <si>
    <t>Pagos por otras participaciones en el patrimonio</t>
  </si>
  <si>
    <t>Importes procedentes de préstamos de largo plazo</t>
  </si>
  <si>
    <t>Importes procedentes de préstamos de corto plazo</t>
  </si>
  <si>
    <t>Préstamos de entidades relacionadas</t>
  </si>
  <si>
    <t>Pagos de pasivos por arrendamientos financieros</t>
  </si>
  <si>
    <t>Pagos de préstamos a entidades relacionadas</t>
  </si>
  <si>
    <t>Efectos de la variación en la tasa de cambio sobre el efectivo y equivalentes al efectivo</t>
  </si>
  <si>
    <t>EcoRiles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</si>
  <si>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</si>
  <si>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</si>
  <si>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</si>
  <si>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</si>
  <si>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</si>
  <si>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</si>
  <si>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</si>
  <si>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</si>
  <si>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</si>
  <si>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</si>
  <si>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</si>
  <si>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</si>
  <si>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</si>
  <si>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</si>
  <si>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</si>
  <si>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</si>
  <si>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</si>
  <si>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</si>
  <si>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</si>
  <si>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</si>
  <si>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</si>
  <si>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</si>
  <si>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</si>
  <si>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</si>
  <si>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</si>
  <si>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</si>
  <si>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</si>
  <si>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</si>
  <si>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</si>
  <si>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</si>
  <si>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</si>
  <si>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</si>
  <si>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</si>
  <si>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</si>
  <si>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</si>
  <si>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</si>
  <si>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</si>
  <si>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</si>
  <si>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</si>
  <si>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</si>
  <si>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</si>
  <si>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</si>
  <si>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Estado de Flujo de efectivo directo</t>
  </si>
  <si>
    <t>Clases de pagos en efectivo procedentes de actividades de operación</t>
  </si>
  <si>
    <t>Recursos por ventas de otros activos a largo plazo</t>
  </si>
  <si>
    <t>Cobros a entidades relacionadas</t>
  </si>
  <si>
    <t>Flujos de efectivo procedentes de (utilizados en) actividades de inversión</t>
  </si>
  <si>
    <t>Reembolsos de préstamos</t>
  </si>
  <si>
    <t>Incremento (disminución) neto de efectivo y equivalentes al efectivo</t>
  </si>
  <si>
    <t>Efectivo y equivalentes al efectivo al principio del periodo</t>
  </si>
  <si>
    <t>Efectivo y equivalentes al efectivo al final del periodo</t>
  </si>
  <si>
    <t>Gasto por impuestos</t>
  </si>
  <si>
    <t>Interconexiones*</t>
  </si>
  <si>
    <t>Bonos</t>
  </si>
  <si>
    <t>Préstamos</t>
  </si>
  <si>
    <t>Importes procedentes de ventas de activos intangibles</t>
  </si>
  <si>
    <t>Otros pasivos no financieros</t>
  </si>
  <si>
    <t>Variación en</t>
  </si>
  <si>
    <t>Periodo</t>
  </si>
  <si>
    <t>Trimestre</t>
  </si>
  <si>
    <t>Estado de Resultados (M$)</t>
  </si>
  <si>
    <t>(M$)</t>
  </si>
  <si>
    <t>Composición por instrumento</t>
  </si>
  <si>
    <t>Composición por tasas</t>
  </si>
  <si>
    <t>Otros activos financieros</t>
  </si>
  <si>
    <t>Derechos por cobrar</t>
  </si>
  <si>
    <t>TOTAL DE ACTIVOS</t>
  </si>
  <si>
    <t>TOTAL DE PASIVOS NO CORRIENTES</t>
  </si>
  <si>
    <t>PATRIMONIO</t>
  </si>
  <si>
    <t xml:space="preserve">PATRIMONIO TOTAL </t>
  </si>
  <si>
    <t>TOTAL DE PATRIMONIO Y PASIVOS</t>
  </si>
  <si>
    <t>Ganancia antes de impuestos</t>
  </si>
  <si>
    <t>Ganancia procedente de operaciones continuadas</t>
  </si>
  <si>
    <t>Ganancia atribuible a</t>
  </si>
  <si>
    <t xml:space="preserve">Ganancias por acción 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</si>
  <si>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</si>
  <si>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</si>
  <si>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</si>
  <si>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</si>
  <si>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</si>
  <si>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</si>
  <si>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Otros ingresos regulados</t>
  </si>
  <si>
    <t>Ingresos no-regulados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</si>
  <si>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</si>
  <si>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</si>
  <si>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</si>
  <si>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</si>
  <si>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</si>
  <si>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</si>
  <si>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</si>
  <si>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</si>
  <si>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</si>
  <si>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</si>
  <si>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</si>
  <si>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</si>
  <si>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</si>
  <si>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</si>
  <si>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</si>
  <si>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ACTIVOS NO CORRIENTES</t>
  </si>
  <si>
    <t>Total de pasivos corrientes distintos de los pasivos incluidos en grupos de pasivos para su disposición clasificados como mantenidos para la venta</t>
  </si>
  <si>
    <t xml:space="preserve">ESTADOS DE RESULTADOS POR NATURALEZA </t>
  </si>
  <si>
    <t>Ingresos de actividades ordinarias</t>
  </si>
  <si>
    <t>https://www.bolsadesantiago.com/#/cierre_bursatil</t>
  </si>
  <si>
    <t>Otras (Pérdidas) Ganancias</t>
  </si>
  <si>
    <t>Control</t>
  </si>
  <si>
    <t>Anam S.A.</t>
  </si>
  <si>
    <t>Ganancias por acción básica en operaciones continuadas ($)</t>
  </si>
  <si>
    <t>Importes procedentes de ventas de propiedades, planta y equipo</t>
  </si>
  <si>
    <t>Activos por derecho de uso</t>
  </si>
  <si>
    <t>Pasivos por arrendamientos</t>
  </si>
  <si>
    <t>Ganancias (pérdidas) de actividades operacionales</t>
  </si>
  <si>
    <t>Ganancias (pérdidas) de cambio en moneda extranjera</t>
  </si>
  <si>
    <t>Miles $</t>
  </si>
  <si>
    <t>Pasivo por arrendamiento</t>
  </si>
  <si>
    <t>Aportes financieros reembolsables</t>
  </si>
  <si>
    <t xml:space="preserve">Total </t>
  </si>
  <si>
    <t>Préstamos bancarios variable</t>
  </si>
  <si>
    <t>Préstamos bancarios fijo</t>
  </si>
  <si>
    <t>Inversiones contabilizadas utilizando el método de la partic</t>
  </si>
  <si>
    <t>Participación en las ganancias (pérdidas) de asociadas y negocion conjuntos</t>
  </si>
  <si>
    <t>Ganancia (pérdida) procedente de operaciones discontinuadas</t>
  </si>
  <si>
    <t>Flujos de efectivo procedentes de (utilizados en) actividades de operación</t>
  </si>
  <si>
    <t>Importes procedentes de préstamos, clasificados como actividades de financiación</t>
  </si>
  <si>
    <t xml:space="preserve">Incremento (disminución) en el efectivo y equivalentes al efectivo, antes del efecto de los cambios en la tasa de cambio </t>
  </si>
  <si>
    <t>&lt;(200%)</t>
  </si>
  <si>
    <t>Total otros pasivos financieros</t>
  </si>
  <si>
    <t>Total pasivos por arrendamiento</t>
  </si>
  <si>
    <t>Otras reservas</t>
  </si>
  <si>
    <t xml:space="preserve">Pérdidas por deterioro de valor </t>
  </si>
  <si>
    <t>Pérdidas por deterioro de valor</t>
  </si>
  <si>
    <t xml:space="preserve">venta de materiales </t>
  </si>
  <si>
    <t>afr</t>
  </si>
  <si>
    <t xml:space="preserve">pago de AFR </t>
  </si>
  <si>
    <t>pago de bono</t>
  </si>
  <si>
    <t xml:space="preserve">aumento de tasa en los instrumentos de renta fija </t>
  </si>
  <si>
    <t>Hidrogistica S.A.</t>
  </si>
  <si>
    <t xml:space="preserve">Derivado </t>
  </si>
  <si>
    <t xml:space="preserve">EUR </t>
  </si>
  <si>
    <t xml:space="preserve">Forward </t>
  </si>
  <si>
    <t>Gasto por depreciación y amortización</t>
  </si>
  <si>
    <t>Ganancias por deterioro y reversos de pérdidas por deterioro (Pérdidas por deterioro) determinado de acuerdo con NIIF 9  sobre activos financieros</t>
  </si>
  <si>
    <t>Costos financieros</t>
  </si>
  <si>
    <t>Resultado por unidades reajustables</t>
  </si>
  <si>
    <t>Gastos por impuestos a las ganancias</t>
  </si>
  <si>
    <t>Activos por impuestos corrientes</t>
  </si>
  <si>
    <t>Activos no corrientes mantenidos para la venta</t>
  </si>
  <si>
    <t>Propiedades, plantas y equipos</t>
  </si>
  <si>
    <t>Activos por impuestos diferidos</t>
  </si>
  <si>
    <t>Cuentas por pagar comerciales y otras cuentas por pagar</t>
  </si>
  <si>
    <t>Provisiones corrientes por beneficios a los empleados</t>
  </si>
  <si>
    <t>Pasivos incluidos en grupos de activos para su disposición clasificados como mantenidos para la venta</t>
  </si>
  <si>
    <t>Provisiones no corrientes por beneficios a los empleados</t>
  </si>
  <si>
    <t>Ganancias (perdidas) acumuladas</t>
  </si>
  <si>
    <t xml:space="preserve">Otros pasivos financieros </t>
  </si>
  <si>
    <t xml:space="preserve">Impuestos a las ganancias (pagados) </t>
  </si>
  <si>
    <t>Efectos de la variación en la tasa de cambio sobre el efectivo y equivalentes al efectivo.</t>
  </si>
  <si>
    <t>Interes minoritario</t>
  </si>
  <si>
    <t>Bonos/Derivado</t>
  </si>
  <si>
    <t>Interés Minoritario</t>
  </si>
  <si>
    <t xml:space="preserve">         Dic. 23</t>
  </si>
  <si>
    <t>2024 / 2023</t>
  </si>
  <si>
    <t>Sondajes y refuerzos de sistema de abastecimiento de agua</t>
  </si>
  <si>
    <t>Otros proyectos de inversión</t>
  </si>
  <si>
    <t>Ganancia, atribuible a participaciones no controladora</t>
  </si>
  <si>
    <t>12-14-15</t>
  </si>
  <si>
    <t>24</t>
  </si>
  <si>
    <t>Interés minoritario</t>
  </si>
  <si>
    <t>2T24 – 2T23</t>
  </si>
  <si>
    <t>Forward</t>
  </si>
  <si>
    <t>Biogenera S.A.</t>
  </si>
  <si>
    <t>3T24</t>
  </si>
  <si>
    <t>3T23</t>
  </si>
  <si>
    <t>01-07-2024
30-09-2024</t>
  </si>
  <si>
    <t>01-07-2023
30-09-2023</t>
  </si>
  <si>
    <t>Mayor inversión, mayores pagos a proveedores de bienes y servicios</t>
  </si>
  <si>
    <t xml:space="preserve">Pago Bonos </t>
  </si>
  <si>
    <t>Menores pagos seguros anticipados</t>
  </si>
  <si>
    <t>Mayor provisión de deudores incobrables, menor provisión ingresos devengados, menores ventas ocasionales</t>
  </si>
  <si>
    <t>Mayores gastos anticipados</t>
  </si>
  <si>
    <t>Menor inversión en Activos Intangibles</t>
  </si>
  <si>
    <t>Mayor inversión en PPE</t>
  </si>
  <si>
    <t>Prepago o finiquito prestamos bancarios, menor AFR</t>
  </si>
  <si>
    <t>Mayor pago a proveedores de bienes y servicios</t>
  </si>
  <si>
    <t>Menor IVA, PPM y otros impuestos</t>
  </si>
  <si>
    <t>Colocacion Bono Suizo</t>
  </si>
  <si>
    <t>Renovación de redes de aguas servidas</t>
  </si>
  <si>
    <t>Renovación de redes de agua potable</t>
  </si>
  <si>
    <t>Arranques y medidores</t>
  </si>
  <si>
    <t>Plan de eficiencia hidráulica</t>
  </si>
  <si>
    <t>Plan de macromedición pozos y estanques</t>
  </si>
  <si>
    <t>Renovación filtros Vizcachitas - Tagle</t>
  </si>
  <si>
    <t>Inversiones (Miles $)</t>
  </si>
  <si>
    <t>Tratamiento y disposición de aguas servidas</t>
  </si>
  <si>
    <t>Pérdidas por deterioro de valor (reversiones de pérdidas por deterioro de valor) reconocidas en el resultado del periodo</t>
  </si>
  <si>
    <t>Plusvalia</t>
  </si>
  <si>
    <t>Otros pasivos financieros</t>
  </si>
  <si>
    <t>Capital Emitido</t>
  </si>
  <si>
    <t>Primas de emision</t>
  </si>
  <si>
    <t xml:space="preserve">Clases de cobros por actividades de operación </t>
  </si>
  <si>
    <t xml:space="preserve"> Flujos de efectivo procedentes de (utilizados en) actividades de financiación</t>
  </si>
  <si>
    <t>Dic.24</t>
  </si>
  <si>
    <t>dic.23</t>
  </si>
  <si>
    <t>Reposición de activos de Biofactorías La Farfana-Trebal Mapocho</t>
  </si>
  <si>
    <t>Ampliación Línea Tratamiento Biológico Planta Melipilla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</si>
</sst>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.00\ _P_t_s_-;\-* #,##0.00\ _P_t_s_-;_-* &quot;-&quot;??\ _P_t_s_-;_-@_-"/>
    <numFmt numFmtId="186" formatCode="##,##0;\(##,##0\)"/>
    <numFmt numFmtId="187" formatCode="0.0000%"/>
    <numFmt numFmtId="188" formatCode="0.0%"/>
    <numFmt numFmtId="191" formatCode="dd\-mm\-yyyy"/>
    <numFmt numFmtId="192" formatCode="d\-m\-yyyy"/>
    <numFmt numFmtId="193" formatCode="_-* #,##0.00\ &quot;DM&quot;_-;\-* #,##0.00\ &quot;DM&quot;_-;_-* &quot;-&quot;??\ &quot;DM&quot;_-;_-@_-"/>
    <numFmt numFmtId="194" formatCode="_-* #,##0.00\ [$€]_-;\-* #,##0.00\ [$€]_-;_-* &quot;-&quot;??\ [$€]_-;_-@_-"/>
    <numFmt numFmtId="195" formatCode="_-* #,##0\ _D_M_-;\-* #,##0\ _D_M_-;_-* &quot;-&quot;\ _D_M_-;_-@_-"/>
    <numFmt numFmtId="196" formatCode="_-* #,##0.00\ _D_M_-;\-* #,##0.00\ _D_M_-;_-* &quot;-&quot;??\ _D_M_-;_-@_-"/>
    <numFmt numFmtId="197" formatCode="_-* #,##0\ &quot;DM&quot;_-;\-* #,##0\ &quot;DM&quot;_-;_-* &quot;-&quot;\ &quot;DM&quot;_-;_-@_-"/>
    <numFmt numFmtId="199" formatCode="#,##0.000"/>
    <numFmt numFmtId="201" formatCode="#,##0\ ;\(#,##0\);\-\ ;"/>
    <numFmt numFmtId="202" formatCode="0.0%_);\(0.0%\)"/>
    <numFmt numFmtId="203" formatCode="#,##0;\(#,##0\);\-"/>
    <numFmt numFmtId="204" formatCode="#,##0.000;\(#,##0.000\);\-"/>
    <numFmt numFmtId="205" formatCode="#,##0.0"/>
    <numFmt numFmtId="206" formatCode="0.000000%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9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95" fontId="6" fillId="0" borderId="0" applyFont="0" applyFill="0" applyBorder="0" applyAlignment="0" applyProtection="0"/>
    <xf numFmtId="196" fontId="6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97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19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5" fontId="68" fillId="0" borderId="0" applyFont="0" applyFill="0" applyBorder="0" applyAlignment="0" applyProtection="0"/>
    <xf numFmtId="0" fontId="83" fillId="0" borderId="0"/>
    <xf numFmtId="164" fontId="2" fillId="0" borderId="0" applyFont="0" applyFill="0" applyBorder="0" applyAlignment="0" applyProtection="0"/>
    <xf numFmtId="41" fontId="8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304">
    <xf numFmtId="0" fontId="0" fillId="0" borderId="0" xfId="0"/>
    <xf numFmtId="0" fontId="70" fillId="0" borderId="50" xfId="0" applyFont="1" applyBorder="1" applyAlignment="1">
      <alignment vertical="center"/>
    </xf>
    <xf numFmtId="0" fontId="71" fillId="0" borderId="29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0" fillId="0" borderId="26" xfId="0" applyFont="1" applyBorder="1" applyAlignment="1">
      <alignment horizontal="center" vertical="center"/>
    </xf>
    <xf numFmtId="0" fontId="72" fillId="0" borderId="0" xfId="0" applyFont="1"/>
    <xf numFmtId="201" fontId="71" fillId="0" borderId="0" xfId="0" applyNumberFormat="1" applyFont="1" applyAlignment="1">
      <alignment horizontal="right" vertical="center"/>
    </xf>
    <xf numFmtId="202" fontId="71" fillId="0" borderId="0" xfId="0" applyNumberFormat="1" applyFont="1" applyAlignment="1">
      <alignment horizontal="right" vertical="center"/>
    </xf>
    <xf numFmtId="201" fontId="70" fillId="0" borderId="0" xfId="0" applyNumberFormat="1" applyFont="1" applyAlignment="1">
      <alignment horizontal="right" vertical="center"/>
    </xf>
    <xf numFmtId="202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0" fillId="0" borderId="26" xfId="0" applyFont="1" applyBorder="1" applyAlignment="1">
      <alignment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201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201" fontId="73" fillId="0" borderId="0" xfId="0" applyNumberFormat="1" applyFont="1"/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0" fontId="70" fillId="0" borderId="0" xfId="0" applyFont="1" applyAlignment="1">
      <alignment horizontal="center"/>
    </xf>
    <xf numFmtId="0" fontId="70" fillId="0" borderId="26" xfId="0" applyFont="1" applyBorder="1" applyAlignment="1">
      <alignment horizontal="left"/>
    </xf>
    <xf numFmtId="0" fontId="70" fillId="0" borderId="26" xfId="0" applyFont="1" applyBorder="1" applyAlignment="1">
      <alignment horizontal="center"/>
    </xf>
    <xf numFmtId="0" fontId="71" fillId="0" borderId="0" xfId="0" applyFont="1" applyAlignment="1">
      <alignment horizontal="center" vertical="center"/>
    </xf>
    <xf numFmtId="0" fontId="71" fillId="0" borderId="26" xfId="0" applyFont="1" applyBorder="1" applyAlignment="1">
      <alignment horizontal="center" vertical="center"/>
    </xf>
    <xf numFmtId="0" fontId="70" fillId="0" borderId="29" xfId="0" applyFont="1" applyBorder="1" applyAlignment="1">
      <alignment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202" fontId="71" fillId="0" borderId="0" xfId="0" applyNumberFormat="1" applyFont="1" applyAlignment="1">
      <alignment horizontal="center" vertical="center"/>
    </xf>
    <xf numFmtId="0" fontId="70" fillId="0" borderId="26" xfId="0" applyFont="1" applyBorder="1"/>
    <xf numFmtId="186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50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4" fillId="73" borderId="38" xfId="902" applyNumberFormat="1" applyFont="1" applyFill="1" applyBorder="1" applyAlignment="1">
      <alignment horizontal="center" vertical="center"/>
    </xf>
    <xf numFmtId="14" fontId="84" fillId="73" borderId="39" xfId="902" applyNumberFormat="1" applyFont="1" applyFill="1" applyBorder="1" applyAlignment="1">
      <alignment horizontal="center" vertical="center"/>
    </xf>
    <xf numFmtId="203" fontId="84" fillId="73" borderId="44" xfId="902" applyNumberFormat="1" applyFont="1" applyFill="1" applyBorder="1" applyAlignment="1">
      <alignment horizontal="center" vertical="top"/>
    </xf>
    <xf numFmtId="203" fontId="85" fillId="0" borderId="1" xfId="902" quotePrefix="1" applyNumberFormat="1" applyFont="1" applyBorder="1" applyAlignment="1">
      <alignment horizontal="center" vertical="center"/>
    </xf>
    <xf numFmtId="203" fontId="85" fillId="0" borderId="1" xfId="902" applyNumberFormat="1" applyFont="1" applyBorder="1" applyAlignment="1">
      <alignment vertical="center"/>
    </xf>
    <xf numFmtId="203" fontId="85" fillId="0" borderId="34" xfId="902" applyNumberFormat="1" applyFont="1" applyBorder="1" applyAlignment="1">
      <alignment vertical="center"/>
    </xf>
    <xf numFmtId="203" fontId="85" fillId="0" borderId="1" xfId="902" applyNumberFormat="1" applyFont="1" applyBorder="1" applyAlignment="1">
      <alignment horizontal="center" vertical="center"/>
    </xf>
    <xf numFmtId="203" fontId="84" fillId="73" borderId="43" xfId="902" applyNumberFormat="1" applyFont="1" applyFill="1" applyBorder="1" applyAlignment="1">
      <alignment horizontal="left" vertical="center" wrapText="1"/>
    </xf>
    <xf numFmtId="203" fontId="84" fillId="93" borderId="43" xfId="902" applyNumberFormat="1" applyFont="1" applyFill="1" applyBorder="1" applyAlignment="1">
      <alignment horizontal="left" vertical="center"/>
    </xf>
    <xf numFmtId="203" fontId="84" fillId="0" borderId="1" xfId="902" applyNumberFormat="1" applyFont="1" applyBorder="1" applyAlignment="1">
      <alignment horizontal="center" vertical="center"/>
    </xf>
    <xf numFmtId="203" fontId="84" fillId="73" borderId="35" xfId="902" applyNumberFormat="1" applyFont="1" applyFill="1" applyBorder="1" applyAlignment="1">
      <alignment horizontal="center" vertical="center"/>
    </xf>
    <xf numFmtId="203" fontId="84" fillId="0" borderId="47" xfId="902" applyNumberFormat="1" applyFont="1" applyBorder="1" applyAlignment="1">
      <alignment vertical="center"/>
    </xf>
    <xf numFmtId="203" fontId="85" fillId="0" borderId="43" xfId="902" applyNumberFormat="1" applyFont="1" applyBorder="1" applyAlignment="1">
      <alignment horizontal="left" vertical="center"/>
    </xf>
    <xf numFmtId="203" fontId="85" fillId="73" borderId="1" xfId="902" applyNumberFormat="1" applyFont="1" applyFill="1" applyBorder="1" applyAlignment="1">
      <alignment horizontal="center" vertical="center"/>
    </xf>
    <xf numFmtId="203" fontId="85" fillId="0" borderId="43" xfId="902" applyNumberFormat="1" applyFont="1" applyBorder="1" applyAlignment="1">
      <alignment vertical="center"/>
    </xf>
    <xf numFmtId="49" fontId="85" fillId="0" borderId="1" xfId="902" applyNumberFormat="1" applyFont="1" applyBorder="1" applyAlignment="1">
      <alignment horizontal="center" vertical="center"/>
    </xf>
    <xf numFmtId="0" fontId="85" fillId="0" borderId="43" xfId="902" applyFont="1" applyBorder="1" applyAlignment="1">
      <alignment vertical="center"/>
    </xf>
    <xf numFmtId="3" fontId="85" fillId="0" borderId="1" xfId="902" applyNumberFormat="1" applyFont="1" applyBorder="1" applyAlignment="1">
      <alignment vertical="center"/>
    </xf>
    <xf numFmtId="0" fontId="84" fillId="73" borderId="43" xfId="902" applyFont="1" applyFill="1" applyBorder="1" applyAlignment="1">
      <alignment vertical="center"/>
    </xf>
    <xf numFmtId="0" fontId="84" fillId="73" borderId="1" xfId="902" applyFont="1" applyFill="1" applyBorder="1" applyAlignment="1">
      <alignment horizontal="center" vertical="center"/>
    </xf>
    <xf numFmtId="3" fontId="84" fillId="73" borderId="1" xfId="902" applyNumberFormat="1" applyFont="1" applyFill="1" applyBorder="1" applyAlignment="1">
      <alignment vertical="center"/>
    </xf>
    <xf numFmtId="0" fontId="84" fillId="73" borderId="1" xfId="902" applyFont="1" applyFill="1" applyBorder="1" applyAlignment="1">
      <alignment horizontal="left" vertical="center" indent="3"/>
    </xf>
    <xf numFmtId="0" fontId="85" fillId="0" borderId="1" xfId="902" applyFont="1" applyBorder="1" applyAlignment="1">
      <alignment horizontal="center" vertical="center"/>
    </xf>
    <xf numFmtId="0" fontId="84" fillId="0" borderId="43" xfId="902" applyFont="1" applyBorder="1" applyAlignment="1">
      <alignment vertical="center" wrapText="1"/>
    </xf>
    <xf numFmtId="0" fontId="85" fillId="0" borderId="1" xfId="902" applyFont="1" applyBorder="1" applyAlignment="1">
      <alignment horizontal="left" vertical="center" indent="3"/>
    </xf>
    <xf numFmtId="3" fontId="85" fillId="0" borderId="1" xfId="902" applyNumberFormat="1" applyFont="1" applyBorder="1" applyAlignment="1">
      <alignment horizontal="center" vertical="center"/>
    </xf>
    <xf numFmtId="0" fontId="84" fillId="73" borderId="43" xfId="902" applyFont="1" applyFill="1" applyBorder="1" applyAlignment="1">
      <alignment vertical="center" wrapText="1"/>
    </xf>
    <xf numFmtId="3" fontId="84" fillId="95" borderId="1" xfId="902" applyNumberFormat="1" applyFont="1" applyFill="1" applyBorder="1" applyAlignment="1">
      <alignment vertical="center"/>
    </xf>
    <xf numFmtId="0" fontId="84" fillId="95" borderId="43" xfId="902" applyFont="1" applyFill="1" applyBorder="1" applyAlignment="1">
      <alignment vertical="center"/>
    </xf>
    <xf numFmtId="0" fontId="84" fillId="95" borderId="1" xfId="902" applyFont="1" applyFill="1" applyBorder="1" applyAlignment="1">
      <alignment horizontal="left" vertical="center" indent="3"/>
    </xf>
    <xf numFmtId="0" fontId="84" fillId="0" borderId="43" xfId="902" applyFont="1" applyBorder="1" applyAlignment="1">
      <alignment vertical="center"/>
    </xf>
    <xf numFmtId="3" fontId="85" fillId="0" borderId="0" xfId="902" applyNumberFormat="1" applyFont="1"/>
    <xf numFmtId="0" fontId="85" fillId="0" borderId="0" xfId="902" applyFont="1"/>
    <xf numFmtId="0" fontId="84" fillId="73" borderId="46" xfId="902" applyFont="1" applyFill="1" applyBorder="1" applyAlignment="1">
      <alignment vertical="center"/>
    </xf>
    <xf numFmtId="0" fontId="85" fillId="73" borderId="35" xfId="902" applyFont="1" applyFill="1" applyBorder="1" applyAlignment="1">
      <alignment horizontal="center" vertical="center"/>
    </xf>
    <xf numFmtId="199" fontId="84" fillId="73" borderId="35" xfId="902" applyNumberFormat="1" applyFont="1" applyFill="1" applyBorder="1" applyAlignment="1">
      <alignment vertical="center"/>
    </xf>
    <xf numFmtId="203" fontId="85" fillId="0" borderId="31" xfId="0" applyNumberFormat="1" applyFont="1" applyBorder="1" applyAlignment="1">
      <alignment horizontal="left" vertical="center" wrapText="1"/>
    </xf>
    <xf numFmtId="203" fontId="85" fillId="0" borderId="32" xfId="0" applyNumberFormat="1" applyFont="1" applyBorder="1" applyAlignment="1">
      <alignment horizontal="center" vertical="center" wrapText="1"/>
    </xf>
    <xf numFmtId="203" fontId="84" fillId="0" borderId="31" xfId="0" applyNumberFormat="1" applyFont="1" applyBorder="1" applyAlignment="1">
      <alignment horizontal="left" vertical="center" wrapText="1"/>
    </xf>
    <xf numFmtId="203" fontId="84" fillId="0" borderId="32" xfId="0" applyNumberFormat="1" applyFont="1" applyBorder="1" applyAlignment="1">
      <alignment horizontal="center" vertical="center" wrapText="1"/>
    </xf>
    <xf numFmtId="0" fontId="85" fillId="0" borderId="0" xfId="901" applyFont="1"/>
    <xf numFmtId="0" fontId="85" fillId="0" borderId="0" xfId="0" applyFont="1"/>
    <xf numFmtId="0" fontId="84" fillId="94" borderId="30" xfId="0" applyFont="1" applyFill="1" applyBorder="1" applyAlignment="1">
      <alignment horizontal="center" vertical="center"/>
    </xf>
    <xf numFmtId="0" fontId="84" fillId="94" borderId="33" xfId="0" applyFont="1" applyFill="1" applyBorder="1" applyAlignment="1">
      <alignment horizontal="center" vertical="center"/>
    </xf>
    <xf numFmtId="0" fontId="85" fillId="0" borderId="32" xfId="0" applyFont="1" applyBorder="1" applyAlignment="1">
      <alignment horizontal="center" vertical="center" wrapText="1"/>
    </xf>
    <xf numFmtId="3" fontId="85" fillId="0" borderId="0" xfId="0" applyNumberFormat="1" applyFont="1" applyAlignment="1">
      <alignment wrapText="1"/>
    </xf>
    <xf numFmtId="0" fontId="85" fillId="0" borderId="0" xfId="0" applyFont="1" applyAlignment="1">
      <alignment wrapText="1"/>
    </xf>
    <xf numFmtId="0" fontId="85" fillId="0" borderId="31" xfId="0" applyFont="1" applyBorder="1" applyAlignment="1">
      <alignment horizontal="left" vertical="center" wrapText="1"/>
    </xf>
    <xf numFmtId="0" fontId="84" fillId="93" borderId="31" xfId="0" applyFont="1" applyFill="1" applyBorder="1" applyAlignment="1">
      <alignment horizontal="left" vertical="center" wrapText="1"/>
    </xf>
    <xf numFmtId="0" fontId="85" fillId="93" borderId="32" xfId="0" applyFont="1" applyFill="1" applyBorder="1" applyAlignment="1">
      <alignment horizontal="center" vertical="center" wrapText="1"/>
    </xf>
    <xf numFmtId="0" fontId="84" fillId="93" borderId="32" xfId="0" applyFont="1" applyFill="1" applyBorder="1" applyAlignment="1">
      <alignment horizontal="center" vertical="center" wrapText="1"/>
    </xf>
    <xf numFmtId="0" fontId="84" fillId="93" borderId="31" xfId="0" applyFont="1" applyFill="1" applyBorder="1" applyAlignment="1">
      <alignment vertical="center" wrapText="1"/>
    </xf>
    <xf numFmtId="0" fontId="85" fillId="93" borderId="31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4" fillId="93" borderId="40" xfId="0" applyFont="1" applyFill="1" applyBorder="1" applyAlignment="1">
      <alignment horizontal="left" vertical="center" wrapText="1"/>
    </xf>
    <xf numFmtId="0" fontId="84" fillId="93" borderId="37" xfId="0" applyFont="1" applyFill="1" applyBorder="1" applyAlignment="1">
      <alignment horizontal="center" vertical="center" wrapText="1"/>
    </xf>
    <xf numFmtId="0" fontId="85" fillId="0" borderId="0" xfId="901" applyFont="1" applyAlignment="1">
      <alignment horizontal="center"/>
    </xf>
    <xf numFmtId="0" fontId="84" fillId="0" borderId="0" xfId="902" applyFont="1"/>
    <xf numFmtId="3" fontId="85" fillId="0" borderId="0" xfId="901" applyNumberFormat="1" applyFont="1"/>
    <xf numFmtId="191" fontId="84" fillId="0" borderId="0" xfId="902" applyNumberFormat="1" applyFont="1" applyAlignment="1">
      <alignment horizontal="center" vertical="center"/>
    </xf>
    <xf numFmtId="0" fontId="85" fillId="0" borderId="0" xfId="902" applyFont="1" applyAlignment="1">
      <alignment vertical="center"/>
    </xf>
    <xf numFmtId="3" fontId="85" fillId="0" borderId="0" xfId="902" applyNumberFormat="1" applyFont="1" applyAlignment="1">
      <alignment vertical="center"/>
    </xf>
    <xf numFmtId="3" fontId="84" fillId="0" borderId="0" xfId="902" applyNumberFormat="1" applyFont="1" applyAlignment="1">
      <alignment vertical="center"/>
    </xf>
    <xf numFmtId="3" fontId="84" fillId="0" borderId="0" xfId="902" applyNumberFormat="1" applyFont="1" applyAlignment="1">
      <alignment horizontal="right" vertical="center"/>
    </xf>
    <xf numFmtId="3" fontId="85" fillId="0" borderId="0" xfId="0" applyNumberFormat="1" applyFont="1" applyAlignment="1">
      <alignment vertical="center"/>
    </xf>
    <xf numFmtId="0" fontId="89" fillId="0" borderId="0" xfId="0" applyFont="1"/>
    <xf numFmtId="0" fontId="90" fillId="0" borderId="0" xfId="0" applyFont="1"/>
    <xf numFmtId="0" fontId="91" fillId="0" borderId="0" xfId="1702"/>
    <xf numFmtId="0" fontId="78" fillId="0" borderId="26" xfId="0" applyFont="1" applyBorder="1" applyAlignment="1">
      <alignment horizontal="center"/>
    </xf>
    <xf numFmtId="203" fontId="70" fillId="0" borderId="0" xfId="0" applyNumberFormat="1" applyFont="1" applyAlignment="1">
      <alignment horizontal="right" vertical="center"/>
    </xf>
    <xf numFmtId="203" fontId="71" fillId="0" borderId="0" xfId="0" applyNumberFormat="1" applyFont="1" applyAlignment="1">
      <alignment horizontal="right" vertical="center"/>
    </xf>
    <xf numFmtId="203" fontId="70" fillId="0" borderId="26" xfId="0" applyNumberFormat="1" applyFont="1" applyBorder="1" applyAlignment="1">
      <alignment horizontal="right" vertical="center"/>
    </xf>
    <xf numFmtId="0" fontId="84" fillId="0" borderId="31" xfId="0" applyFont="1" applyBorder="1" applyAlignment="1">
      <alignment horizontal="left" vertical="center" wrapText="1"/>
    </xf>
    <xf numFmtId="191" fontId="84" fillId="73" borderId="56" xfId="902" applyNumberFormat="1" applyFont="1" applyFill="1" applyBorder="1" applyAlignment="1">
      <alignment horizontal="center" vertical="center"/>
    </xf>
    <xf numFmtId="203" fontId="85" fillId="0" borderId="0" xfId="0" applyNumberFormat="1" applyFont="1" applyAlignment="1">
      <alignment wrapText="1"/>
    </xf>
    <xf numFmtId="203" fontId="90" fillId="0" borderId="43" xfId="902" applyNumberFormat="1" applyFont="1" applyBorder="1" applyAlignment="1">
      <alignment vertical="center"/>
    </xf>
    <xf numFmtId="204" fontId="85" fillId="0" borderId="1" xfId="902" applyNumberFormat="1" applyFont="1" applyBorder="1" applyAlignment="1">
      <alignment vertical="center"/>
    </xf>
    <xf numFmtId="0" fontId="90" fillId="0" borderId="31" xfId="875" applyFont="1" applyBorder="1" applyAlignment="1">
      <alignment horizontal="left" vertical="center" wrapText="1"/>
    </xf>
    <xf numFmtId="201" fontId="92" fillId="0" borderId="0" xfId="0" applyNumberFormat="1" applyFont="1"/>
    <xf numFmtId="165" fontId="85" fillId="0" borderId="0" xfId="901" applyNumberFormat="1" applyFont="1" applyAlignment="1">
      <alignment vertical="center"/>
    </xf>
    <xf numFmtId="165" fontId="87" fillId="96" borderId="57" xfId="902" applyNumberFormat="1" applyFont="1" applyFill="1" applyBorder="1" applyAlignment="1">
      <alignment vertical="center"/>
    </xf>
    <xf numFmtId="165" fontId="86" fillId="96" borderId="57" xfId="902" applyNumberFormat="1" applyFont="1" applyFill="1" applyBorder="1" applyAlignment="1">
      <alignment vertical="center"/>
    </xf>
    <xf numFmtId="165" fontId="87" fillId="96" borderId="57" xfId="901" applyNumberFormat="1" applyFont="1" applyFill="1" applyBorder="1" applyAlignment="1">
      <alignment vertical="center"/>
    </xf>
    <xf numFmtId="202" fontId="87" fillId="0" borderId="0" xfId="948" applyNumberFormat="1" applyFont="1" applyFill="1" applyBorder="1" applyAlignment="1">
      <alignment vertical="center"/>
    </xf>
    <xf numFmtId="165" fontId="85" fillId="0" borderId="1" xfId="902" applyNumberFormat="1" applyFont="1" applyBorder="1" applyAlignment="1">
      <alignment vertical="center"/>
    </xf>
    <xf numFmtId="165" fontId="85" fillId="0" borderId="34" xfId="902" applyNumberFormat="1" applyFont="1" applyBorder="1" applyAlignment="1">
      <alignment vertical="center"/>
    </xf>
    <xf numFmtId="165" fontId="84" fillId="73" borderId="1" xfId="902" applyNumberFormat="1" applyFont="1" applyFill="1" applyBorder="1" applyAlignment="1">
      <alignment vertical="center"/>
    </xf>
    <xf numFmtId="165" fontId="84" fillId="73" borderId="34" xfId="902" applyNumberFormat="1" applyFont="1" applyFill="1" applyBorder="1" applyAlignment="1">
      <alignment vertical="center"/>
    </xf>
    <xf numFmtId="165" fontId="84" fillId="73" borderId="1" xfId="902" applyNumberFormat="1" applyFont="1" applyFill="1" applyBorder="1" applyAlignment="1">
      <alignment horizontal="right" vertical="center"/>
    </xf>
    <xf numFmtId="165" fontId="84" fillId="73" borderId="34" xfId="902" applyNumberFormat="1" applyFont="1" applyFill="1" applyBorder="1" applyAlignment="1">
      <alignment horizontal="right" vertical="center"/>
    </xf>
    <xf numFmtId="165" fontId="84" fillId="0" borderId="1" xfId="902" applyNumberFormat="1" applyFont="1" applyBorder="1" applyAlignment="1">
      <alignment vertical="center"/>
    </xf>
    <xf numFmtId="165" fontId="84" fillId="0" borderId="34" xfId="902" applyNumberFormat="1" applyFont="1" applyBorder="1" applyAlignment="1">
      <alignment vertical="center"/>
    </xf>
    <xf numFmtId="165" fontId="84" fillId="73" borderId="35" xfId="902" applyNumberFormat="1" applyFont="1" applyFill="1" applyBorder="1" applyAlignment="1">
      <alignment vertical="center"/>
    </xf>
    <xf numFmtId="165" fontId="84" fillId="73" borderId="36" xfId="902" applyNumberFormat="1" applyFont="1" applyFill="1" applyBorder="1" applyAlignment="1">
      <alignment vertical="center"/>
    </xf>
    <xf numFmtId="165" fontId="84" fillId="0" borderId="47" xfId="902" applyNumberFormat="1" applyFont="1" applyBorder="1" applyAlignment="1">
      <alignment vertical="center"/>
    </xf>
    <xf numFmtId="165" fontId="84" fillId="0" borderId="51" xfId="902" applyNumberFormat="1" applyFont="1" applyBorder="1" applyAlignment="1">
      <alignment vertical="center"/>
    </xf>
    <xf numFmtId="165" fontId="85" fillId="0" borderId="0" xfId="901" applyNumberFormat="1" applyFont="1"/>
    <xf numFmtId="202" fontId="87" fillId="0" borderId="0" xfId="901" applyNumberFormat="1" applyFont="1" applyAlignment="1">
      <alignment vertical="center"/>
    </xf>
    <xf numFmtId="202" fontId="87" fillId="0" borderId="0" xfId="901" applyNumberFormat="1" applyFont="1" applyAlignment="1">
      <alignment horizontal="center" vertical="center"/>
    </xf>
    <xf numFmtId="165" fontId="86" fillId="96" borderId="67" xfId="902" applyNumberFormat="1" applyFont="1" applyFill="1" applyBorder="1" applyAlignment="1">
      <alignment horizontal="center" vertical="center"/>
    </xf>
    <xf numFmtId="202" fontId="86" fillId="96" borderId="68" xfId="902" applyNumberFormat="1" applyFont="1" applyFill="1" applyBorder="1" applyAlignment="1">
      <alignment horizontal="center" vertical="center"/>
    </xf>
    <xf numFmtId="202" fontId="87" fillId="96" borderId="58" xfId="948" applyNumberFormat="1" applyFont="1" applyFill="1" applyBorder="1" applyAlignment="1">
      <alignment vertical="center"/>
    </xf>
    <xf numFmtId="165" fontId="86" fillId="96" borderId="61" xfId="902" applyNumberFormat="1" applyFont="1" applyFill="1" applyBorder="1" applyAlignment="1">
      <alignment vertical="center"/>
    </xf>
    <xf numFmtId="202" fontId="86" fillId="96" borderId="62" xfId="948" applyNumberFormat="1" applyFont="1" applyFill="1" applyBorder="1" applyAlignment="1">
      <alignment vertical="center"/>
    </xf>
    <xf numFmtId="202" fontId="87" fillId="96" borderId="58" xfId="902" applyNumberFormat="1" applyFont="1" applyFill="1" applyBorder="1" applyAlignment="1">
      <alignment vertical="center"/>
    </xf>
    <xf numFmtId="165" fontId="87" fillId="96" borderId="59" xfId="902" applyNumberFormat="1" applyFont="1" applyFill="1" applyBorder="1" applyAlignment="1">
      <alignment vertical="center"/>
    </xf>
    <xf numFmtId="202" fontId="87" fillId="96" borderId="60" xfId="902" applyNumberFormat="1" applyFont="1" applyFill="1" applyBorder="1" applyAlignment="1">
      <alignment vertical="center"/>
    </xf>
    <xf numFmtId="202" fontId="86" fillId="96" borderId="62" xfId="902" applyNumberFormat="1" applyFont="1" applyFill="1" applyBorder="1" applyAlignment="1">
      <alignment vertical="center"/>
    </xf>
    <xf numFmtId="165" fontId="86" fillId="96" borderId="63" xfId="902" applyNumberFormat="1" applyFont="1" applyFill="1" applyBorder="1" applyAlignment="1">
      <alignment horizontal="center" vertical="center"/>
    </xf>
    <xf numFmtId="202" fontId="86" fillId="96" borderId="64" xfId="0" applyNumberFormat="1" applyFont="1" applyFill="1" applyBorder="1" applyAlignment="1">
      <alignment horizontal="center" vertical="center"/>
    </xf>
    <xf numFmtId="202" fontId="87" fillId="96" borderId="58" xfId="0" applyNumberFormat="1" applyFont="1" applyFill="1" applyBorder="1" applyAlignment="1">
      <alignment horizontal="center" vertical="center" wrapText="1"/>
    </xf>
    <xf numFmtId="202" fontId="87" fillId="96" borderId="58" xfId="1698" applyNumberFormat="1" applyFont="1" applyFill="1" applyBorder="1" applyAlignment="1">
      <alignment horizontal="center" vertical="center" wrapText="1"/>
    </xf>
    <xf numFmtId="202" fontId="86" fillId="96" borderId="58" xfId="0" applyNumberFormat="1" applyFont="1" applyFill="1" applyBorder="1" applyAlignment="1">
      <alignment horizontal="center" vertical="center" wrapText="1"/>
    </xf>
    <xf numFmtId="202" fontId="86" fillId="96" borderId="62" xfId="0" applyNumberFormat="1" applyFont="1" applyFill="1" applyBorder="1" applyAlignment="1">
      <alignment horizontal="center" vertical="center" wrapText="1"/>
    </xf>
    <xf numFmtId="202" fontId="86" fillId="96" borderId="58" xfId="1698" applyNumberFormat="1" applyFont="1" applyFill="1" applyBorder="1" applyAlignment="1">
      <alignment horizontal="center" vertical="center" wrapText="1"/>
    </xf>
    <xf numFmtId="203" fontId="84" fillId="93" borderId="43" xfId="902" applyNumberFormat="1" applyFont="1" applyFill="1" applyBorder="1" applyAlignment="1">
      <alignment vertical="center"/>
    </xf>
    <xf numFmtId="203" fontId="84" fillId="93" borderId="1" xfId="902" applyNumberFormat="1" applyFont="1" applyFill="1" applyBorder="1" applyAlignment="1">
      <alignment vertical="center"/>
    </xf>
    <xf numFmtId="165" fontId="85" fillId="0" borderId="32" xfId="0" applyNumberFormat="1" applyFont="1" applyBorder="1" applyAlignment="1">
      <alignment horizontal="right" vertical="center" wrapText="1"/>
    </xf>
    <xf numFmtId="165" fontId="84" fillId="0" borderId="32" xfId="0" applyNumberFormat="1" applyFont="1" applyBorder="1" applyAlignment="1">
      <alignment horizontal="right" vertical="center" wrapText="1"/>
    </xf>
    <xf numFmtId="165" fontId="84" fillId="93" borderId="32" xfId="0" applyNumberFormat="1" applyFont="1" applyFill="1" applyBorder="1" applyAlignment="1">
      <alignment horizontal="right" vertical="center" wrapText="1"/>
    </xf>
    <xf numFmtId="165" fontId="84" fillId="93" borderId="32" xfId="0" applyNumberFormat="1" applyFont="1" applyFill="1" applyBorder="1" applyAlignment="1">
      <alignment vertical="center" wrapText="1"/>
    </xf>
    <xf numFmtId="165" fontId="85" fillId="93" borderId="32" xfId="0" applyNumberFormat="1" applyFont="1" applyFill="1" applyBorder="1" applyAlignment="1">
      <alignment horizontal="right" vertical="center" wrapText="1"/>
    </xf>
    <xf numFmtId="165" fontId="69" fillId="0" borderId="0" xfId="901" applyNumberFormat="1" applyFont="1"/>
    <xf numFmtId="0" fontId="78" fillId="0" borderId="50" xfId="0" applyFont="1" applyBorder="1" applyAlignment="1">
      <alignment horizontal="right" vertical="center"/>
    </xf>
    <xf numFmtId="0" fontId="78" fillId="0" borderId="50" xfId="0" applyFont="1" applyBorder="1" applyAlignment="1">
      <alignment horizontal="center" vertical="center"/>
    </xf>
    <xf numFmtId="165" fontId="76" fillId="0" borderId="0" xfId="1698" applyFont="1" applyAlignment="1">
      <alignment horizontal="right" vertical="center"/>
    </xf>
    <xf numFmtId="165" fontId="78" fillId="0" borderId="0" xfId="1698" applyFont="1" applyAlignment="1">
      <alignment horizontal="right" vertical="center"/>
    </xf>
    <xf numFmtId="3" fontId="90" fillId="0" borderId="0" xfId="0" applyNumberFormat="1" applyFont="1"/>
    <xf numFmtId="3" fontId="89" fillId="0" borderId="0" xfId="0" applyNumberFormat="1" applyFont="1"/>
    <xf numFmtId="10" fontId="89" fillId="0" borderId="0" xfId="1697" applyNumberFormat="1" applyFont="1"/>
    <xf numFmtId="165" fontId="69" fillId="0" borderId="0" xfId="1698" applyFont="1"/>
    <xf numFmtId="202" fontId="86" fillId="0" borderId="0" xfId="901" applyNumberFormat="1" applyFont="1" applyAlignment="1">
      <alignment horizontal="center" vertical="center"/>
    </xf>
    <xf numFmtId="3" fontId="86" fillId="0" borderId="0" xfId="902" applyNumberFormat="1" applyFont="1" applyAlignment="1">
      <alignment horizontal="center" vertical="center"/>
    </xf>
    <xf numFmtId="202" fontId="86" fillId="0" borderId="0" xfId="902" applyNumberFormat="1" applyFont="1" applyAlignment="1">
      <alignment horizontal="center" vertical="center"/>
    </xf>
    <xf numFmtId="202" fontId="87" fillId="0" borderId="0" xfId="902" applyNumberFormat="1" applyFont="1" applyAlignment="1">
      <alignment vertical="center"/>
    </xf>
    <xf numFmtId="202" fontId="86" fillId="0" borderId="0" xfId="902" applyNumberFormat="1" applyFont="1" applyAlignment="1">
      <alignment vertical="center"/>
    </xf>
    <xf numFmtId="0" fontId="76" fillId="0" borderId="0" xfId="0" applyFont="1" applyAlignment="1">
      <alignment horizontal="right"/>
    </xf>
    <xf numFmtId="165" fontId="71" fillId="0" borderId="0" xfId="0" applyNumberFormat="1" applyFont="1" applyAlignment="1">
      <alignment vertical="center"/>
    </xf>
    <xf numFmtId="165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203" fontId="70" fillId="0" borderId="24" xfId="0" applyNumberFormat="1" applyFont="1" applyBorder="1" applyAlignment="1">
      <alignment horizontal="right" vertical="center"/>
    </xf>
    <xf numFmtId="203" fontId="71" fillId="0" borderId="24" xfId="0" applyNumberFormat="1" applyFont="1" applyBorder="1" applyAlignment="1">
      <alignment horizontal="right" vertical="center"/>
    </xf>
    <xf numFmtId="165" fontId="70" fillId="0" borderId="0" xfId="1698" applyFont="1" applyAlignment="1">
      <alignment horizontal="right" vertical="center"/>
    </xf>
    <xf numFmtId="202" fontId="70" fillId="0" borderId="0" xfId="0" applyNumberFormat="1" applyFont="1" applyAlignment="1">
      <alignment horizontal="center" vertical="center"/>
    </xf>
    <xf numFmtId="0" fontId="85" fillId="97" borderId="0" xfId="0" applyFont="1" applyFill="1" applyAlignment="1">
      <alignment wrapText="1"/>
    </xf>
    <xf numFmtId="203" fontId="85" fillId="97" borderId="0" xfId="0" applyNumberFormat="1" applyFont="1" applyFill="1" applyAlignment="1">
      <alignment wrapText="1"/>
    </xf>
    <xf numFmtId="165" fontId="85" fillId="0" borderId="0" xfId="0" applyNumberFormat="1" applyFont="1" applyAlignment="1">
      <alignment wrapText="1"/>
    </xf>
    <xf numFmtId="0" fontId="70" fillId="0" borderId="50" xfId="0" applyFont="1" applyBorder="1" applyAlignment="1">
      <alignment horizontal="center" vertical="center"/>
    </xf>
    <xf numFmtId="0" fontId="94" fillId="0" borderId="0" xfId="0" applyFont="1" applyAlignment="1">
      <alignment vertical="center" wrapText="1"/>
    </xf>
    <xf numFmtId="205" fontId="71" fillId="0" borderId="0" xfId="0" applyNumberFormat="1" applyFont="1"/>
    <xf numFmtId="165" fontId="87" fillId="97" borderId="57" xfId="902" applyNumberFormat="1" applyFont="1" applyFill="1" applyBorder="1" applyAlignment="1">
      <alignment vertical="center"/>
    </xf>
    <xf numFmtId="14" fontId="89" fillId="73" borderId="73" xfId="902" applyNumberFormat="1" applyFont="1" applyFill="1" applyBorder="1" applyAlignment="1">
      <alignment horizontal="center" vertical="center"/>
    </xf>
    <xf numFmtId="10" fontId="70" fillId="0" borderId="0" xfId="948" applyNumberFormat="1" applyFont="1"/>
    <xf numFmtId="10" fontId="80" fillId="0" borderId="0" xfId="948" applyNumberFormat="1" applyFont="1" applyFill="1"/>
    <xf numFmtId="10" fontId="72" fillId="0" borderId="0" xfId="0" applyNumberFormat="1" applyFont="1"/>
    <xf numFmtId="10" fontId="81" fillId="0" borderId="0" xfId="948" applyNumberFormat="1" applyFont="1" applyFill="1"/>
    <xf numFmtId="165" fontId="72" fillId="0" borderId="0" xfId="0" applyNumberFormat="1" applyFont="1" applyAlignment="1">
      <alignment vertical="center"/>
    </xf>
    <xf numFmtId="202" fontId="72" fillId="0" borderId="0" xfId="0" applyNumberFormat="1" applyFont="1" applyAlignment="1">
      <alignment vertical="center"/>
    </xf>
    <xf numFmtId="202" fontId="71" fillId="0" borderId="0" xfId="0" applyNumberFormat="1" applyFont="1" applyAlignment="1">
      <alignment vertical="center"/>
    </xf>
    <xf numFmtId="165" fontId="72" fillId="0" borderId="0" xfId="1698" applyFont="1"/>
    <xf numFmtId="0" fontId="70" fillId="98" borderId="26" xfId="0" applyFont="1" applyFill="1" applyBorder="1" applyAlignment="1">
      <alignment vertical="center"/>
    </xf>
    <xf numFmtId="0" fontId="70" fillId="98" borderId="26" xfId="0" applyFont="1" applyFill="1" applyBorder="1" applyAlignment="1">
      <alignment horizontal="center" vertical="center"/>
    </xf>
    <xf numFmtId="0" fontId="72" fillId="98" borderId="0" xfId="0" applyFont="1" applyFill="1"/>
    <xf numFmtId="3" fontId="76" fillId="98" borderId="0" xfId="0" applyNumberFormat="1" applyFont="1" applyFill="1" applyAlignment="1">
      <alignment horizontal="right" vertical="center"/>
    </xf>
    <xf numFmtId="0" fontId="72" fillId="98" borderId="0" xfId="0" applyFont="1" applyFill="1" applyAlignment="1">
      <alignment vertical="center"/>
    </xf>
    <xf numFmtId="165" fontId="72" fillId="0" borderId="0" xfId="1698" applyFont="1" applyAlignment="1">
      <alignment vertical="center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0" fontId="78" fillId="0" borderId="0" xfId="0" applyFont="1" applyAlignment="1">
      <alignment horizontal="center" vertical="center"/>
    </xf>
    <xf numFmtId="188" fontId="76" fillId="0" borderId="0" xfId="0" applyNumberFormat="1" applyFont="1" applyAlignment="1">
      <alignment horizontal="right" vertical="center"/>
    </xf>
    <xf numFmtId="3" fontId="76" fillId="0" borderId="28" xfId="0" applyNumberFormat="1" applyFont="1" applyBorder="1" applyAlignment="1">
      <alignment horizontal="right" vertical="center"/>
    </xf>
    <xf numFmtId="188" fontId="76" fillId="0" borderId="28" xfId="0" applyNumberFormat="1" applyFont="1" applyBorder="1" applyAlignment="1">
      <alignment horizontal="right" vertical="center"/>
    </xf>
    <xf numFmtId="188" fontId="78" fillId="0" borderId="0" xfId="0" applyNumberFormat="1" applyFont="1" applyAlignment="1">
      <alignment horizontal="right" vertical="center"/>
    </xf>
    <xf numFmtId="165" fontId="69" fillId="0" borderId="0" xfId="1698" applyFont="1" applyFill="1" applyAlignment="1">
      <alignment vertical="center"/>
    </xf>
    <xf numFmtId="165" fontId="72" fillId="0" borderId="0" xfId="1698" applyFont="1" applyFill="1" applyAlignment="1">
      <alignment vertical="center"/>
    </xf>
    <xf numFmtId="3" fontId="70" fillId="98" borderId="0" xfId="0" applyNumberFormat="1" applyFont="1" applyFill="1"/>
    <xf numFmtId="3" fontId="72" fillId="98" borderId="0" xfId="0" applyNumberFormat="1" applyFont="1" applyFill="1"/>
    <xf numFmtId="0" fontId="82" fillId="0" borderId="0" xfId="0" applyFont="1" applyAlignment="1">
      <alignment vertical="center"/>
    </xf>
    <xf numFmtId="14" fontId="95" fillId="73" borderId="73" xfId="902" applyNumberFormat="1" applyFont="1" applyFill="1" applyBorder="1" applyAlignment="1">
      <alignment horizontal="center" vertical="center" wrapText="1"/>
    </xf>
    <xf numFmtId="203" fontId="96" fillId="73" borderId="74" xfId="902" applyNumberFormat="1" applyFont="1" applyFill="1" applyBorder="1" applyAlignment="1">
      <alignment horizontal="center" vertical="top"/>
    </xf>
    <xf numFmtId="203" fontId="85" fillId="0" borderId="75" xfId="902" applyNumberFormat="1" applyFont="1" applyBorder="1" applyAlignment="1">
      <alignment vertical="center"/>
    </xf>
    <xf numFmtId="3" fontId="84" fillId="73" borderId="75" xfId="902" applyNumberFormat="1" applyFont="1" applyFill="1" applyBorder="1" applyAlignment="1">
      <alignment vertical="center"/>
    </xf>
    <xf numFmtId="3" fontId="85" fillId="0" borderId="75" xfId="902" applyNumberFormat="1" applyFont="1" applyBorder="1" applyAlignment="1">
      <alignment horizontal="center" vertical="center"/>
    </xf>
    <xf numFmtId="3" fontId="84" fillId="95" borderId="75" xfId="902" applyNumberFormat="1" applyFont="1" applyFill="1" applyBorder="1" applyAlignment="1">
      <alignment vertical="center"/>
    </xf>
    <xf numFmtId="204" fontId="85" fillId="0" borderId="75" xfId="902" applyNumberFormat="1" applyFont="1" applyBorder="1" applyAlignment="1">
      <alignment vertical="center"/>
    </xf>
    <xf numFmtId="199" fontId="84" fillId="73" borderId="76" xfId="902" applyNumberFormat="1" applyFont="1" applyFill="1" applyBorder="1" applyAlignment="1">
      <alignment vertical="center"/>
    </xf>
    <xf numFmtId="203" fontId="96" fillId="73" borderId="45" xfId="902" applyNumberFormat="1" applyFont="1" applyFill="1" applyBorder="1" applyAlignment="1">
      <alignment horizontal="center" vertical="top"/>
    </xf>
    <xf numFmtId="3" fontId="84" fillId="73" borderId="34" xfId="902" applyNumberFormat="1" applyFont="1" applyFill="1" applyBorder="1" applyAlignment="1">
      <alignment vertical="center"/>
    </xf>
    <xf numFmtId="3" fontId="85" fillId="0" borderId="34" xfId="902" applyNumberFormat="1" applyFont="1" applyBorder="1" applyAlignment="1">
      <alignment vertical="center"/>
    </xf>
    <xf numFmtId="3" fontId="84" fillId="95" borderId="34" xfId="902" applyNumberFormat="1" applyFont="1" applyFill="1" applyBorder="1" applyAlignment="1">
      <alignment vertical="center"/>
    </xf>
    <xf numFmtId="204" fontId="85" fillId="0" borderId="34" xfId="902" applyNumberFormat="1" applyFont="1" applyBorder="1" applyAlignment="1">
      <alignment vertical="center"/>
    </xf>
    <xf numFmtId="199" fontId="84" fillId="73" borderId="36" xfId="902" applyNumberFormat="1" applyFont="1" applyFill="1" applyBorder="1" applyAlignment="1">
      <alignment vertical="center"/>
    </xf>
    <xf numFmtId="10" fontId="90" fillId="0" borderId="0" xfId="1697" applyNumberFormat="1" applyFont="1"/>
    <xf numFmtId="187" fontId="72" fillId="0" borderId="0" xfId="0" applyNumberFormat="1" applyFont="1"/>
    <xf numFmtId="203" fontId="84" fillId="73" borderId="43" xfId="902" applyNumberFormat="1" applyFont="1" applyFill="1" applyBorder="1" applyAlignment="1">
      <alignment horizontal="left" vertical="center"/>
    </xf>
    <xf numFmtId="203" fontId="84" fillId="73" borderId="1" xfId="902" applyNumberFormat="1" applyFont="1" applyFill="1" applyBorder="1" applyAlignment="1">
      <alignment horizontal="center" vertical="center"/>
    </xf>
    <xf numFmtId="0" fontId="85" fillId="0" borderId="0" xfId="901" applyFont="1" applyAlignment="1">
      <alignment vertical="center"/>
    </xf>
    <xf numFmtId="3" fontId="85" fillId="0" borderId="0" xfId="901" applyNumberFormat="1" applyFont="1" applyAlignment="1">
      <alignment vertical="center"/>
    </xf>
    <xf numFmtId="0" fontId="84" fillId="0" borderId="0" xfId="902" applyFont="1" applyAlignment="1">
      <alignment vertical="center"/>
    </xf>
    <xf numFmtId="203" fontId="84" fillId="73" borderId="44" xfId="902" applyNumberFormat="1" applyFont="1" applyFill="1" applyBorder="1" applyAlignment="1">
      <alignment horizontal="center" vertical="center"/>
    </xf>
    <xf numFmtId="203" fontId="84" fillId="73" borderId="45" xfId="902" applyNumberFormat="1" applyFont="1" applyFill="1" applyBorder="1" applyAlignment="1">
      <alignment horizontal="center" vertical="center"/>
    </xf>
    <xf numFmtId="192" fontId="84" fillId="0" borderId="0" xfId="902" applyNumberFormat="1" applyFont="1" applyAlignment="1">
      <alignment horizontal="center" vertical="center"/>
    </xf>
    <xf numFmtId="203" fontId="84" fillId="0" borderId="43" xfId="902" applyNumberFormat="1" applyFont="1" applyBorder="1" applyAlignment="1">
      <alignment horizontal="left" vertical="center"/>
    </xf>
    <xf numFmtId="0" fontId="88" fillId="0" borderId="0" xfId="902" applyFont="1" applyAlignment="1">
      <alignment vertical="center"/>
    </xf>
    <xf numFmtId="203" fontId="84" fillId="73" borderId="46" xfId="902" applyNumberFormat="1" applyFont="1" applyFill="1" applyBorder="1" applyAlignment="1">
      <alignment horizontal="left" vertical="center"/>
    </xf>
    <xf numFmtId="0" fontId="85" fillId="0" borderId="0" xfId="0" applyFont="1" applyAlignment="1">
      <alignment horizontal="left" vertical="center"/>
    </xf>
    <xf numFmtId="203" fontId="84" fillId="0" borderId="1" xfId="902" applyNumberFormat="1" applyFont="1" applyBorder="1" applyAlignment="1">
      <alignment horizontal="left" vertical="center"/>
    </xf>
    <xf numFmtId="203" fontId="84" fillId="73" borderId="1" xfId="902" applyNumberFormat="1" applyFont="1" applyFill="1" applyBorder="1" applyAlignment="1">
      <alignment horizontal="left" vertical="center"/>
    </xf>
    <xf numFmtId="203" fontId="77" fillId="0" borderId="43" xfId="902" applyNumberFormat="1" applyFont="1" applyBorder="1" applyAlignment="1">
      <alignment horizontal="left" vertical="center"/>
    </xf>
    <xf numFmtId="203" fontId="84" fillId="0" borderId="43" xfId="902" applyNumberFormat="1" applyFont="1" applyBorder="1" applyAlignment="1">
      <alignment horizontal="left" vertical="center" wrapText="1"/>
    </xf>
    <xf numFmtId="203" fontId="84" fillId="73" borderId="35" xfId="902" applyNumberFormat="1" applyFont="1" applyFill="1" applyBorder="1" applyAlignment="1">
      <alignment horizontal="left" vertical="center"/>
    </xf>
    <xf numFmtId="3" fontId="93" fillId="0" borderId="0" xfId="901" applyNumberFormat="1" applyFont="1" applyAlignment="1">
      <alignment vertical="center"/>
    </xf>
    <xf numFmtId="165" fontId="93" fillId="0" borderId="0" xfId="1698" applyFont="1" applyFill="1" applyBorder="1" applyAlignment="1">
      <alignment vertical="center"/>
    </xf>
    <xf numFmtId="3" fontId="97" fillId="0" borderId="0" xfId="876" applyNumberFormat="1" applyFont="1" applyAlignment="1">
      <alignment horizontal="right"/>
    </xf>
    <xf numFmtId="3" fontId="85" fillId="97" borderId="0" xfId="902" applyNumberFormat="1" applyFont="1" applyFill="1" applyAlignment="1">
      <alignment vertical="center"/>
    </xf>
    <xf numFmtId="206" fontId="80" fillId="0" borderId="0" xfId="948" applyNumberFormat="1" applyFont="1" applyFill="1"/>
    <xf numFmtId="165" fontId="78" fillId="0" borderId="0" xfId="1698" applyFont="1" applyFill="1" applyAlignment="1">
      <alignment horizontal="right" vertical="center"/>
    </xf>
    <xf numFmtId="165" fontId="76" fillId="0" borderId="0" xfId="1698" applyFont="1" applyFill="1" applyAlignment="1">
      <alignment horizontal="right" vertical="center"/>
    </xf>
    <xf numFmtId="165" fontId="70" fillId="0" borderId="0" xfId="0" applyNumberFormat="1" applyFont="1" applyAlignment="1">
      <alignment vertical="center"/>
    </xf>
    <xf numFmtId="202" fontId="70" fillId="0" borderId="0" xfId="0" applyNumberFormat="1" applyFont="1" applyAlignment="1">
      <alignment vertical="center"/>
    </xf>
    <xf numFmtId="186" fontId="71" fillId="0" borderId="0" xfId="0" applyNumberFormat="1" applyFont="1" applyAlignment="1">
      <alignment vertical="center"/>
    </xf>
    <xf numFmtId="0" fontId="85" fillId="97" borderId="43" xfId="902" applyFont="1" applyFill="1" applyBorder="1" applyAlignment="1">
      <alignment vertical="center"/>
    </xf>
    <xf numFmtId="203" fontId="85" fillId="97" borderId="1" xfId="902" applyNumberFormat="1" applyFont="1" applyFill="1" applyBorder="1" applyAlignment="1">
      <alignment horizontal="center" vertical="center"/>
    </xf>
    <xf numFmtId="203" fontId="85" fillId="97" borderId="1" xfId="902" applyNumberFormat="1" applyFont="1" applyFill="1" applyBorder="1" applyAlignment="1">
      <alignment vertical="center"/>
    </xf>
    <xf numFmtId="0" fontId="78" fillId="0" borderId="0" xfId="0" applyFont="1"/>
    <xf numFmtId="0" fontId="77" fillId="0" borderId="0" xfId="0" applyFont="1"/>
    <xf numFmtId="0" fontId="74" fillId="0" borderId="0" xfId="0" applyFont="1" applyAlignment="1">
      <alignment horizontal="justify"/>
    </xf>
    <xf numFmtId="3" fontId="76" fillId="0" borderId="0" xfId="0" applyNumberFormat="1" applyFont="1"/>
    <xf numFmtId="3" fontId="73" fillId="0" borderId="0" xfId="0" applyNumberFormat="1" applyFont="1"/>
    <xf numFmtId="0" fontId="78" fillId="0" borderId="50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78" fillId="0" borderId="71" xfId="0" applyFont="1" applyBorder="1" applyAlignment="1">
      <alignment horizontal="center" vertical="center"/>
    </xf>
    <xf numFmtId="0" fontId="78" fillId="0" borderId="27" xfId="0" applyFont="1" applyBorder="1" applyAlignment="1">
      <alignment horizontal="center" vertical="center"/>
    </xf>
    <xf numFmtId="0" fontId="70" fillId="0" borderId="29" xfId="0" applyFont="1" applyBorder="1" applyAlignment="1">
      <alignment horizontal="center" vertical="center"/>
    </xf>
    <xf numFmtId="0" fontId="70" fillId="0" borderId="27" xfId="0" applyFont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203" fontId="84" fillId="73" borderId="48" xfId="902" applyNumberFormat="1" applyFont="1" applyFill="1" applyBorder="1" applyAlignment="1">
      <alignment horizontal="left" vertical="center"/>
    </xf>
    <xf numFmtId="203" fontId="84" fillId="73" borderId="49" xfId="902" applyNumberFormat="1" applyFont="1" applyFill="1" applyBorder="1" applyAlignment="1">
      <alignment horizontal="left" vertical="center"/>
    </xf>
    <xf numFmtId="203" fontId="84" fillId="73" borderId="42" xfId="902" applyNumberFormat="1" applyFont="1" applyFill="1" applyBorder="1" applyAlignment="1">
      <alignment horizontal="center" vertical="center"/>
    </xf>
    <xf numFmtId="203" fontId="84" fillId="73" borderId="1" xfId="902" applyNumberFormat="1" applyFont="1" applyFill="1" applyBorder="1" applyAlignment="1">
      <alignment horizontal="center" vertical="center"/>
    </xf>
    <xf numFmtId="3" fontId="86" fillId="96" borderId="65" xfId="902" applyNumberFormat="1" applyFont="1" applyFill="1" applyBorder="1" applyAlignment="1">
      <alignment horizontal="center" vertical="center"/>
    </xf>
    <xf numFmtId="3" fontId="86" fillId="96" borderId="66" xfId="902" applyNumberFormat="1" applyFont="1" applyFill="1" applyBorder="1" applyAlignment="1">
      <alignment horizontal="center" vertical="center"/>
    </xf>
    <xf numFmtId="165" fontId="84" fillId="0" borderId="72" xfId="901" applyNumberFormat="1" applyFont="1" applyBorder="1" applyAlignment="1">
      <alignment horizontal="center"/>
    </xf>
    <xf numFmtId="203" fontId="84" fillId="73" borderId="41" xfId="902" applyNumberFormat="1" applyFont="1" applyFill="1" applyBorder="1" applyAlignment="1">
      <alignment horizontal="left" vertical="center"/>
    </xf>
    <xf numFmtId="203" fontId="84" fillId="73" borderId="43" xfId="902" applyNumberFormat="1" applyFont="1" applyFill="1" applyBorder="1" applyAlignment="1">
      <alignment horizontal="left" vertical="center"/>
    </xf>
    <xf numFmtId="165" fontId="86" fillId="96" borderId="69" xfId="902" applyNumberFormat="1" applyFont="1" applyFill="1" applyBorder="1" applyAlignment="1">
      <alignment horizontal="center" vertical="center"/>
    </xf>
    <xf numFmtId="165" fontId="86" fillId="96" borderId="70" xfId="902" applyNumberFormat="1" applyFont="1" applyFill="1" applyBorder="1" applyAlignment="1">
      <alignment horizontal="center" vertical="center"/>
    </xf>
    <xf numFmtId="0" fontId="84" fillId="94" borderId="55" xfId="0" applyFont="1" applyFill="1" applyBorder="1" applyAlignment="1">
      <alignment horizontal="left" vertical="center"/>
    </xf>
    <xf numFmtId="0" fontId="84" fillId="94" borderId="52" xfId="0" applyFont="1" applyFill="1" applyBorder="1" applyAlignment="1">
      <alignment horizontal="left" vertical="center"/>
    </xf>
    <xf numFmtId="0" fontId="84" fillId="94" borderId="53" xfId="0" applyFont="1" applyFill="1" applyBorder="1" applyAlignment="1">
      <alignment horizontal="center" vertical="center"/>
    </xf>
    <xf numFmtId="0" fontId="84" fillId="94" borderId="54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Hipervínculo" xfId="1702" builtinId="8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3" xr:uid="{00000000-0005-0000-0000-000041030000}"/>
    <cellStyle name="Millares 2" xfId="829" xr:uid="{00000000-0005-0000-0000-000042030000}"/>
    <cellStyle name="Millares 3" xfId="830" xr:uid="{00000000-0005-0000-0000-000043030000}"/>
    <cellStyle name="Millares 3 2" xfId="831" xr:uid="{00000000-0005-0000-0000-000044030000}"/>
    <cellStyle name="Millares 4" xfId="832" xr:uid="{00000000-0005-0000-0000-000045030000}"/>
    <cellStyle name="Millares 5" xfId="833" xr:uid="{00000000-0005-0000-0000-000046030000}"/>
    <cellStyle name="Millares 6" xfId="1700" xr:uid="{00000000-0005-0000-0000-000047030000}"/>
    <cellStyle name="Millares 7" xfId="834" xr:uid="{00000000-0005-0000-0000-000048030000}"/>
    <cellStyle name="Moneda [0] 2 2" xfId="835" xr:uid="{00000000-0005-0000-0000-00004A030000}"/>
    <cellStyle name="Moneda 2" xfId="836" xr:uid="{00000000-0005-0000-0000-00004B030000}"/>
    <cellStyle name="Moneda 2 2" xfId="837" xr:uid="{00000000-0005-0000-0000-00004C030000}"/>
    <cellStyle name="Moneda 2 3" xfId="838" xr:uid="{00000000-0005-0000-0000-00004D030000}"/>
    <cellStyle name="Nag?ówek 1" xfId="839" xr:uid="{00000000-0005-0000-0000-00004E030000}"/>
    <cellStyle name="Nag?ówek 2" xfId="840" xr:uid="{00000000-0005-0000-0000-00004F030000}"/>
    <cellStyle name="Nag?ówek 3" xfId="841" xr:uid="{00000000-0005-0000-0000-000050030000}"/>
    <cellStyle name="Nag?ówek 4" xfId="842" xr:uid="{00000000-0005-0000-0000-000051030000}"/>
    <cellStyle name="Nagłówek 1" xfId="843" xr:uid="{00000000-0005-0000-0000-000052030000}"/>
    <cellStyle name="Nagłówek 2" xfId="844" xr:uid="{00000000-0005-0000-0000-000053030000}"/>
    <cellStyle name="Nagłówek 3" xfId="845" xr:uid="{00000000-0005-0000-0000-000054030000}"/>
    <cellStyle name="Nagłówek 4" xfId="846" xr:uid="{00000000-0005-0000-0000-000055030000}"/>
    <cellStyle name="Neutral" xfId="847" builtinId="28" customBuiltin="1"/>
    <cellStyle name="Neutral 2" xfId="848" xr:uid="{00000000-0005-0000-0000-000057030000}"/>
    <cellStyle name="Neutral 2 2" xfId="849" xr:uid="{00000000-0005-0000-0000-000058030000}"/>
    <cellStyle name="Neutral 2 3" xfId="850" xr:uid="{00000000-0005-0000-0000-000059030000}"/>
    <cellStyle name="Neutral 2 4" xfId="851" xr:uid="{00000000-0005-0000-0000-00005A030000}"/>
    <cellStyle name="Neutral 2 5" xfId="852" xr:uid="{00000000-0005-0000-0000-00005B030000}"/>
    <cellStyle name="Neutral 2 6" xfId="853" xr:uid="{00000000-0005-0000-0000-00005C030000}"/>
    <cellStyle name="Neutral 3" xfId="854" xr:uid="{00000000-0005-0000-0000-00005D030000}"/>
    <cellStyle name="Neutral 3 2" xfId="855" xr:uid="{00000000-0005-0000-0000-00005E030000}"/>
    <cellStyle name="Neutral 3 3" xfId="856" xr:uid="{00000000-0005-0000-0000-00005F030000}"/>
    <cellStyle name="Neutral 3 4" xfId="857" xr:uid="{00000000-0005-0000-0000-000060030000}"/>
    <cellStyle name="Neutral 3 5" xfId="858" xr:uid="{00000000-0005-0000-0000-000061030000}"/>
    <cellStyle name="Neutral 4" xfId="859" xr:uid="{00000000-0005-0000-0000-000062030000}"/>
    <cellStyle name="Neutral 4 2" xfId="860" xr:uid="{00000000-0005-0000-0000-000063030000}"/>
    <cellStyle name="Neutral 4 3" xfId="861" xr:uid="{00000000-0005-0000-0000-000064030000}"/>
    <cellStyle name="Neutral 4 4" xfId="862" xr:uid="{00000000-0005-0000-0000-000065030000}"/>
    <cellStyle name="Neutral 4 5" xfId="863" xr:uid="{00000000-0005-0000-0000-000066030000}"/>
    <cellStyle name="Neutral 5" xfId="864" xr:uid="{00000000-0005-0000-0000-000067030000}"/>
    <cellStyle name="Neutral 5 2" xfId="865" xr:uid="{00000000-0005-0000-0000-000068030000}"/>
    <cellStyle name="Neutral 5 3" xfId="866" xr:uid="{00000000-0005-0000-0000-000069030000}"/>
    <cellStyle name="Neutral 5 4" xfId="867" xr:uid="{00000000-0005-0000-0000-00006A030000}"/>
    <cellStyle name="Neutral 5 5" xfId="868" xr:uid="{00000000-0005-0000-0000-00006B030000}"/>
    <cellStyle name="Neutral 6" xfId="869" xr:uid="{00000000-0005-0000-0000-00006C030000}"/>
    <cellStyle name="Neutral 6 2" xfId="870" xr:uid="{00000000-0005-0000-0000-00006D030000}"/>
    <cellStyle name="Neutral 7" xfId="871" xr:uid="{00000000-0005-0000-0000-00006E030000}"/>
    <cellStyle name="Neutral 8" xfId="872" xr:uid="{00000000-0005-0000-0000-00006F030000}"/>
    <cellStyle name="Neutral 9" xfId="873" xr:uid="{00000000-0005-0000-0000-000070030000}"/>
    <cellStyle name="Neutralne" xfId="874" xr:uid="{00000000-0005-0000-0000-000071030000}"/>
    <cellStyle name="Normal" xfId="0" builtinId="0"/>
    <cellStyle name="Normal 10" xfId="875" xr:uid="{00000000-0005-0000-0000-000073030000}"/>
    <cellStyle name="Normal 10 2" xfId="876" xr:uid="{00000000-0005-0000-0000-000074030000}"/>
    <cellStyle name="Normal 11" xfId="877" xr:uid="{00000000-0005-0000-0000-000075030000}"/>
    <cellStyle name="Normal 11 2" xfId="878" xr:uid="{00000000-0005-0000-0000-000076030000}"/>
    <cellStyle name="Normal 12" xfId="879" xr:uid="{00000000-0005-0000-0000-000077030000}"/>
    <cellStyle name="Normal 12 2" xfId="880" xr:uid="{00000000-0005-0000-0000-000078030000}"/>
    <cellStyle name="Normal 13" xfId="881" xr:uid="{00000000-0005-0000-0000-000079030000}"/>
    <cellStyle name="Normal 13 2" xfId="882" xr:uid="{00000000-0005-0000-0000-00007A030000}"/>
    <cellStyle name="Normal 14" xfId="883" xr:uid="{00000000-0005-0000-0000-00007B030000}"/>
    <cellStyle name="Normal 15" xfId="884" xr:uid="{00000000-0005-0000-0000-00007C030000}"/>
    <cellStyle name="Normal 15 2" xfId="885" xr:uid="{00000000-0005-0000-0000-00007D030000}"/>
    <cellStyle name="Normal 16" xfId="1696" xr:uid="{00000000-0005-0000-0000-00007E030000}"/>
    <cellStyle name="Normal 17" xfId="886" xr:uid="{00000000-0005-0000-0000-00007F030000}"/>
    <cellStyle name="Normal 18" xfId="1695" xr:uid="{00000000-0005-0000-0000-000080030000}"/>
    <cellStyle name="Normal 2" xfId="887" xr:uid="{00000000-0005-0000-0000-000081030000}"/>
    <cellStyle name="Normal 2 10" xfId="888" xr:uid="{00000000-0005-0000-0000-000082030000}"/>
    <cellStyle name="Normal 2 11" xfId="889" xr:uid="{00000000-0005-0000-0000-000083030000}"/>
    <cellStyle name="Normal 2 12" xfId="890" xr:uid="{00000000-0005-0000-0000-000084030000}"/>
    <cellStyle name="Normal 2 13" xfId="1699" xr:uid="{00000000-0005-0000-0000-000085030000}"/>
    <cellStyle name="Normal 2 2" xfId="891" xr:uid="{00000000-0005-0000-0000-000086030000}"/>
    <cellStyle name="Normal 2 2 2" xfId="892" xr:uid="{00000000-0005-0000-0000-000087030000}"/>
    <cellStyle name="Normal 2 3" xfId="893" xr:uid="{00000000-0005-0000-0000-000088030000}"/>
    <cellStyle name="Normal 2 4" xfId="894" xr:uid="{00000000-0005-0000-0000-000089030000}"/>
    <cellStyle name="Normal 2 5" xfId="895" xr:uid="{00000000-0005-0000-0000-00008A030000}"/>
    <cellStyle name="Normal 2 6" xfId="896" xr:uid="{00000000-0005-0000-0000-00008B030000}"/>
    <cellStyle name="Normal 2 7" xfId="897" xr:uid="{00000000-0005-0000-0000-00008C030000}"/>
    <cellStyle name="Normal 2 8" xfId="898" xr:uid="{00000000-0005-0000-0000-00008D030000}"/>
    <cellStyle name="Normal 2 9" xfId="899" xr:uid="{00000000-0005-0000-0000-00008E030000}"/>
    <cellStyle name="Normal 2_Combinación de negocios - AA-IAMv3" xfId="900" xr:uid="{00000000-0005-0000-0000-00008F030000}"/>
    <cellStyle name="Normal 3" xfId="901" xr:uid="{00000000-0005-0000-0000-000090030000}"/>
    <cellStyle name="Normal 3 2" xfId="902" xr:uid="{00000000-0005-0000-0000-000091030000}"/>
    <cellStyle name="Normal 4" xfId="903" xr:uid="{00000000-0005-0000-0000-000092030000}"/>
    <cellStyle name="Normal 5" xfId="904" xr:uid="{00000000-0005-0000-0000-000093030000}"/>
    <cellStyle name="Normal 6" xfId="905" xr:uid="{00000000-0005-0000-0000-000094030000}"/>
    <cellStyle name="Normal 6 2" xfId="906" xr:uid="{00000000-0005-0000-0000-000095030000}"/>
    <cellStyle name="Normal 7" xfId="907" xr:uid="{00000000-0005-0000-0000-000096030000}"/>
    <cellStyle name="Normal 8" xfId="908" xr:uid="{00000000-0005-0000-0000-000097030000}"/>
    <cellStyle name="Normal 9" xfId="909" xr:uid="{00000000-0005-0000-0000-000098030000}"/>
    <cellStyle name="Notas" xfId="910" builtinId="10" customBuiltin="1"/>
    <cellStyle name="Notas 10" xfId="911" xr:uid="{00000000-0005-0000-0000-00009A030000}"/>
    <cellStyle name="Notas 2" xfId="912" xr:uid="{00000000-0005-0000-0000-00009B030000}"/>
    <cellStyle name="Notas 2 2" xfId="913" xr:uid="{00000000-0005-0000-0000-00009C030000}"/>
    <cellStyle name="Notas 2 3" xfId="914" xr:uid="{00000000-0005-0000-0000-00009D030000}"/>
    <cellStyle name="Notas 2 4" xfId="915" xr:uid="{00000000-0005-0000-0000-00009E030000}"/>
    <cellStyle name="Notas 2 5" xfId="916" xr:uid="{00000000-0005-0000-0000-00009F030000}"/>
    <cellStyle name="Notas 2 6" xfId="917" xr:uid="{00000000-0005-0000-0000-0000A0030000}"/>
    <cellStyle name="Notas 3" xfId="918" xr:uid="{00000000-0005-0000-0000-0000A1030000}"/>
    <cellStyle name="Notas 3 2" xfId="919" xr:uid="{00000000-0005-0000-0000-0000A2030000}"/>
    <cellStyle name="Notas 3 3" xfId="920" xr:uid="{00000000-0005-0000-0000-0000A3030000}"/>
    <cellStyle name="Notas 3 4" xfId="921" xr:uid="{00000000-0005-0000-0000-0000A4030000}"/>
    <cellStyle name="Notas 3 5" xfId="922" xr:uid="{00000000-0005-0000-0000-0000A5030000}"/>
    <cellStyle name="Notas 4" xfId="923" xr:uid="{00000000-0005-0000-0000-0000A6030000}"/>
    <cellStyle name="Notas 4 2" xfId="924" xr:uid="{00000000-0005-0000-0000-0000A7030000}"/>
    <cellStyle name="Notas 4 3" xfId="925" xr:uid="{00000000-0005-0000-0000-0000A8030000}"/>
    <cellStyle name="Notas 4 4" xfId="926" xr:uid="{00000000-0005-0000-0000-0000A9030000}"/>
    <cellStyle name="Notas 4 5" xfId="927" xr:uid="{00000000-0005-0000-0000-0000AA030000}"/>
    <cellStyle name="Notas 5" xfId="928" xr:uid="{00000000-0005-0000-0000-0000AB030000}"/>
    <cellStyle name="Notas 5 2" xfId="929" xr:uid="{00000000-0005-0000-0000-0000AC030000}"/>
    <cellStyle name="Notas 5 3" xfId="930" xr:uid="{00000000-0005-0000-0000-0000AD030000}"/>
    <cellStyle name="Notas 5 4" xfId="931" xr:uid="{00000000-0005-0000-0000-0000AE030000}"/>
    <cellStyle name="Notas 5 5" xfId="932" xr:uid="{00000000-0005-0000-0000-0000AF030000}"/>
    <cellStyle name="Notas 6" xfId="933" xr:uid="{00000000-0005-0000-0000-0000B0030000}"/>
    <cellStyle name="Notas 6 2" xfId="934" xr:uid="{00000000-0005-0000-0000-0000B1030000}"/>
    <cellStyle name="Notas 7" xfId="935" xr:uid="{00000000-0005-0000-0000-0000B2030000}"/>
    <cellStyle name="Notas 8" xfId="936" xr:uid="{00000000-0005-0000-0000-0000B3030000}"/>
    <cellStyle name="Notas 9" xfId="937" xr:uid="{00000000-0005-0000-0000-0000B4030000}"/>
    <cellStyle name="Note" xfId="938" xr:uid="{00000000-0005-0000-0000-0000B5030000}"/>
    <cellStyle name="Note 2" xfId="939" xr:uid="{00000000-0005-0000-0000-0000B6030000}"/>
    <cellStyle name="Note 3" xfId="940" xr:uid="{00000000-0005-0000-0000-0000B7030000}"/>
    <cellStyle name="Note 4" xfId="941" xr:uid="{00000000-0005-0000-0000-0000B8030000}"/>
    <cellStyle name="Note 5" xfId="942" xr:uid="{00000000-0005-0000-0000-0000B9030000}"/>
    <cellStyle name="Note 6" xfId="943" xr:uid="{00000000-0005-0000-0000-0000BA030000}"/>
    <cellStyle name="Note 7" xfId="944" xr:uid="{00000000-0005-0000-0000-0000BB030000}"/>
    <cellStyle name="Note 8" xfId="945" xr:uid="{00000000-0005-0000-0000-0000BC030000}"/>
    <cellStyle name="Obliczenia" xfId="946" xr:uid="{00000000-0005-0000-0000-0000BD030000}"/>
    <cellStyle name="Output" xfId="947" xr:uid="{00000000-0005-0000-0000-0000BE030000}"/>
    <cellStyle name="Porcentaje" xfId="948" builtinId="5"/>
    <cellStyle name="Porcentaje 2" xfId="1697" xr:uid="{00000000-0005-0000-0000-0000C0030000}"/>
    <cellStyle name="Porcentual 10" xfId="949" xr:uid="{00000000-0005-0000-0000-0000C1030000}"/>
    <cellStyle name="Porcentual 10 2" xfId="950" xr:uid="{00000000-0005-0000-0000-0000C2030000}"/>
    <cellStyle name="Porcentual 11" xfId="951" xr:uid="{00000000-0005-0000-0000-0000C3030000}"/>
    <cellStyle name="Porcentual 11 2" xfId="952" xr:uid="{00000000-0005-0000-0000-0000C4030000}"/>
    <cellStyle name="Porcentual 2" xfId="953" xr:uid="{00000000-0005-0000-0000-0000C5030000}"/>
    <cellStyle name="Porcentual 2 2" xfId="954" xr:uid="{00000000-0005-0000-0000-0000C6030000}"/>
    <cellStyle name="Porcentual 3" xfId="955" xr:uid="{00000000-0005-0000-0000-0000C7030000}"/>
    <cellStyle name="Porcentual 4" xfId="956" xr:uid="{00000000-0005-0000-0000-0000C8030000}"/>
    <cellStyle name="Porcentual 4 2" xfId="957" xr:uid="{00000000-0005-0000-0000-0000C9030000}"/>
    <cellStyle name="Porcentual 5" xfId="958" xr:uid="{00000000-0005-0000-0000-0000CA030000}"/>
    <cellStyle name="Porcentual 5 2" xfId="959" xr:uid="{00000000-0005-0000-0000-0000CB030000}"/>
    <cellStyle name="Porcentual 6" xfId="960" xr:uid="{00000000-0005-0000-0000-0000CC030000}"/>
    <cellStyle name="Porcentual 7" xfId="961" xr:uid="{00000000-0005-0000-0000-0000CD030000}"/>
    <cellStyle name="Porcentual 7 2" xfId="962" xr:uid="{00000000-0005-0000-0000-0000CE030000}"/>
    <cellStyle name="Porcentual 8" xfId="963" xr:uid="{00000000-0005-0000-0000-0000CF030000}"/>
    <cellStyle name="Porcentual 8 2" xfId="964" xr:uid="{00000000-0005-0000-0000-0000D0030000}"/>
    <cellStyle name="Porcentual 9" xfId="965" xr:uid="{00000000-0005-0000-0000-0000D1030000}"/>
    <cellStyle name="Salida" xfId="966" builtinId="21" customBuiltin="1"/>
    <cellStyle name="Salida 2" xfId="967" xr:uid="{00000000-0005-0000-0000-0000D3030000}"/>
    <cellStyle name="Salida 2 2" xfId="968" xr:uid="{00000000-0005-0000-0000-0000D4030000}"/>
    <cellStyle name="Salida 2 3" xfId="969" xr:uid="{00000000-0005-0000-0000-0000D5030000}"/>
    <cellStyle name="Salida 2 4" xfId="970" xr:uid="{00000000-0005-0000-0000-0000D6030000}"/>
    <cellStyle name="Salida 2 5" xfId="971" xr:uid="{00000000-0005-0000-0000-0000D7030000}"/>
    <cellStyle name="Salida 2 6" xfId="972" xr:uid="{00000000-0005-0000-0000-0000D8030000}"/>
    <cellStyle name="Salida 3" xfId="973" xr:uid="{00000000-0005-0000-0000-0000D9030000}"/>
    <cellStyle name="Salida 3 2" xfId="974" xr:uid="{00000000-0005-0000-0000-0000DA030000}"/>
    <cellStyle name="Salida 3 3" xfId="975" xr:uid="{00000000-0005-0000-0000-0000DB030000}"/>
    <cellStyle name="Salida 3 4" xfId="976" xr:uid="{00000000-0005-0000-0000-0000DC030000}"/>
    <cellStyle name="Salida 3 5" xfId="977" xr:uid="{00000000-0005-0000-0000-0000DD030000}"/>
    <cellStyle name="Salida 4" xfId="978" xr:uid="{00000000-0005-0000-0000-0000DE030000}"/>
    <cellStyle name="Salida 4 2" xfId="979" xr:uid="{00000000-0005-0000-0000-0000DF030000}"/>
    <cellStyle name="Salida 4 3" xfId="980" xr:uid="{00000000-0005-0000-0000-0000E0030000}"/>
    <cellStyle name="Salida 4 4" xfId="981" xr:uid="{00000000-0005-0000-0000-0000E1030000}"/>
    <cellStyle name="Salida 4 5" xfId="982" xr:uid="{00000000-0005-0000-0000-0000E2030000}"/>
    <cellStyle name="Salida 5" xfId="983" xr:uid="{00000000-0005-0000-0000-0000E3030000}"/>
    <cellStyle name="Salida 5 2" xfId="984" xr:uid="{00000000-0005-0000-0000-0000E4030000}"/>
    <cellStyle name="Salida 5 3" xfId="985" xr:uid="{00000000-0005-0000-0000-0000E5030000}"/>
    <cellStyle name="Salida 5 4" xfId="986" xr:uid="{00000000-0005-0000-0000-0000E6030000}"/>
    <cellStyle name="Salida 5 5" xfId="987" xr:uid="{00000000-0005-0000-0000-0000E7030000}"/>
    <cellStyle name="Salida 6" xfId="988" xr:uid="{00000000-0005-0000-0000-0000E8030000}"/>
    <cellStyle name="Salida 6 2" xfId="989" xr:uid="{00000000-0005-0000-0000-0000E9030000}"/>
    <cellStyle name="Salida 7" xfId="990" xr:uid="{00000000-0005-0000-0000-0000EA030000}"/>
    <cellStyle name="Salida 8" xfId="991" xr:uid="{00000000-0005-0000-0000-0000EB030000}"/>
    <cellStyle name="Salida 9" xfId="992" xr:uid="{00000000-0005-0000-0000-0000EC030000}"/>
    <cellStyle name="SAPBEXaggData" xfId="993" xr:uid="{00000000-0005-0000-0000-0000ED030000}"/>
    <cellStyle name="SAPBEXaggData 10" xfId="994" xr:uid="{00000000-0005-0000-0000-0000EE030000}"/>
    <cellStyle name="SAPBEXaggData 11" xfId="995" xr:uid="{00000000-0005-0000-0000-0000EF030000}"/>
    <cellStyle name="SAPBEXaggData 2" xfId="996" xr:uid="{00000000-0005-0000-0000-0000F0030000}"/>
    <cellStyle name="SAPBEXaggData 2 2" xfId="997" xr:uid="{00000000-0005-0000-0000-0000F1030000}"/>
    <cellStyle name="SAPBEXaggData 2 2 2" xfId="998" xr:uid="{00000000-0005-0000-0000-0000F2030000}"/>
    <cellStyle name="SAPBEXaggData 3" xfId="999" xr:uid="{00000000-0005-0000-0000-0000F3030000}"/>
    <cellStyle name="SAPBEXaggData 4" xfId="1000" xr:uid="{00000000-0005-0000-0000-0000F4030000}"/>
    <cellStyle name="SAPBEXaggData 5" xfId="1001" xr:uid="{00000000-0005-0000-0000-0000F5030000}"/>
    <cellStyle name="SAPBEXaggData 6" xfId="1002" xr:uid="{00000000-0005-0000-0000-0000F6030000}"/>
    <cellStyle name="SAPBEXaggData 7" xfId="1003" xr:uid="{00000000-0005-0000-0000-0000F7030000}"/>
    <cellStyle name="SAPBEXaggData 8" xfId="1004" xr:uid="{00000000-0005-0000-0000-0000F8030000}"/>
    <cellStyle name="SAPBEXaggData 9" xfId="1005" xr:uid="{00000000-0005-0000-0000-0000F9030000}"/>
    <cellStyle name="SAPBEXaggData_gxaccion, 68" xfId="1006" xr:uid="{00000000-0005-0000-0000-0000FA030000}"/>
    <cellStyle name="SAPBEXaggDataEmph" xfId="1007" xr:uid="{00000000-0005-0000-0000-0000FB030000}"/>
    <cellStyle name="SAPBEXaggDataEmph 10" xfId="1008" xr:uid="{00000000-0005-0000-0000-0000FC030000}"/>
    <cellStyle name="SAPBEXaggDataEmph 11" xfId="1009" xr:uid="{00000000-0005-0000-0000-0000FD030000}"/>
    <cellStyle name="SAPBEXaggDataEmph 2" xfId="1010" xr:uid="{00000000-0005-0000-0000-0000FE030000}"/>
    <cellStyle name="SAPBEXaggDataEmph 2 2" xfId="1011" xr:uid="{00000000-0005-0000-0000-0000FF030000}"/>
    <cellStyle name="SAPBEXaggDataEmph 2 2 2" xfId="1012" xr:uid="{00000000-0005-0000-0000-000000040000}"/>
    <cellStyle name="SAPBEXaggDataEmph 3" xfId="1013" xr:uid="{00000000-0005-0000-0000-000001040000}"/>
    <cellStyle name="SAPBEXaggDataEmph 4" xfId="1014" xr:uid="{00000000-0005-0000-0000-000002040000}"/>
    <cellStyle name="SAPBEXaggDataEmph 5" xfId="1015" xr:uid="{00000000-0005-0000-0000-000003040000}"/>
    <cellStyle name="SAPBEXaggDataEmph 6" xfId="1016" xr:uid="{00000000-0005-0000-0000-000004040000}"/>
    <cellStyle name="SAPBEXaggDataEmph 7" xfId="1017" xr:uid="{00000000-0005-0000-0000-000005040000}"/>
    <cellStyle name="SAPBEXaggDataEmph 8" xfId="1018" xr:uid="{00000000-0005-0000-0000-000006040000}"/>
    <cellStyle name="SAPBEXaggDataEmph 9" xfId="1019" xr:uid="{00000000-0005-0000-0000-000007040000}"/>
    <cellStyle name="SAPBEXaggDataEmph_valor justo.junio2010" xfId="1020" xr:uid="{00000000-0005-0000-0000-000008040000}"/>
    <cellStyle name="SAPBEXaggItem" xfId="1021" xr:uid="{00000000-0005-0000-0000-000009040000}"/>
    <cellStyle name="SAPBEXaggItem 10" xfId="1022" xr:uid="{00000000-0005-0000-0000-00000A040000}"/>
    <cellStyle name="SAPBEXaggItem 11" xfId="1023" xr:uid="{00000000-0005-0000-0000-00000B040000}"/>
    <cellStyle name="SAPBEXaggItem 2" xfId="1024" xr:uid="{00000000-0005-0000-0000-00000C040000}"/>
    <cellStyle name="SAPBEXaggItem 2 2" xfId="1025" xr:uid="{00000000-0005-0000-0000-00000D040000}"/>
    <cellStyle name="SAPBEXaggItem 2 2 2" xfId="1026" xr:uid="{00000000-0005-0000-0000-00000E040000}"/>
    <cellStyle name="SAPBEXaggItem 3" xfId="1027" xr:uid="{00000000-0005-0000-0000-00000F040000}"/>
    <cellStyle name="SAPBEXaggItem 4" xfId="1028" xr:uid="{00000000-0005-0000-0000-000010040000}"/>
    <cellStyle name="SAPBEXaggItem 5" xfId="1029" xr:uid="{00000000-0005-0000-0000-000011040000}"/>
    <cellStyle name="SAPBEXaggItem 6" xfId="1030" xr:uid="{00000000-0005-0000-0000-000012040000}"/>
    <cellStyle name="SAPBEXaggItem 7" xfId="1031" xr:uid="{00000000-0005-0000-0000-000013040000}"/>
    <cellStyle name="SAPBEXaggItem 8" xfId="1032" xr:uid="{00000000-0005-0000-0000-000014040000}"/>
    <cellStyle name="SAPBEXaggItem 9" xfId="1033" xr:uid="{00000000-0005-0000-0000-000015040000}"/>
    <cellStyle name="SAPBEXaggItem_gxaccion, 68" xfId="1034" xr:uid="{00000000-0005-0000-0000-000016040000}"/>
    <cellStyle name="SAPBEXaggItemX" xfId="1035" xr:uid="{00000000-0005-0000-0000-000017040000}"/>
    <cellStyle name="SAPBEXaggItemX 10" xfId="1036" xr:uid="{00000000-0005-0000-0000-000018040000}"/>
    <cellStyle name="SAPBEXaggItemX 11" xfId="1037" xr:uid="{00000000-0005-0000-0000-000019040000}"/>
    <cellStyle name="SAPBEXaggItemX 2" xfId="1038" xr:uid="{00000000-0005-0000-0000-00001A040000}"/>
    <cellStyle name="SAPBEXaggItemX 2 2" xfId="1039" xr:uid="{00000000-0005-0000-0000-00001B040000}"/>
    <cellStyle name="SAPBEXaggItemX 2 2 2" xfId="1040" xr:uid="{00000000-0005-0000-0000-00001C040000}"/>
    <cellStyle name="SAPBEXaggItemX 3" xfId="1041" xr:uid="{00000000-0005-0000-0000-00001D040000}"/>
    <cellStyle name="SAPBEXaggItemX 4" xfId="1042" xr:uid="{00000000-0005-0000-0000-00001E040000}"/>
    <cellStyle name="SAPBEXaggItemX 5" xfId="1043" xr:uid="{00000000-0005-0000-0000-00001F040000}"/>
    <cellStyle name="SAPBEXaggItemX 6" xfId="1044" xr:uid="{00000000-0005-0000-0000-000020040000}"/>
    <cellStyle name="SAPBEXaggItemX 7" xfId="1045" xr:uid="{00000000-0005-0000-0000-000021040000}"/>
    <cellStyle name="SAPBEXaggItemX 8" xfId="1046" xr:uid="{00000000-0005-0000-0000-000022040000}"/>
    <cellStyle name="SAPBEXaggItemX 9" xfId="1047" xr:uid="{00000000-0005-0000-0000-000023040000}"/>
    <cellStyle name="SAPBEXaggItemX_valor justo.junio2010" xfId="1048" xr:uid="{00000000-0005-0000-0000-000024040000}"/>
    <cellStyle name="SAPBEXchaText" xfId="1049" xr:uid="{00000000-0005-0000-0000-000025040000}"/>
    <cellStyle name="SAPBEXchaText 10" xfId="1050" xr:uid="{00000000-0005-0000-0000-000026040000}"/>
    <cellStyle name="SAPBEXchaText 11" xfId="1051" xr:uid="{00000000-0005-0000-0000-000027040000}"/>
    <cellStyle name="SAPBEXchaText 2" xfId="1052" xr:uid="{00000000-0005-0000-0000-000028040000}"/>
    <cellStyle name="SAPBEXchaText 2 2" xfId="1053" xr:uid="{00000000-0005-0000-0000-000029040000}"/>
    <cellStyle name="SAPBEXchaText 2 2 2" xfId="1054" xr:uid="{00000000-0005-0000-0000-00002A040000}"/>
    <cellStyle name="SAPBEXchaText 3" xfId="1055" xr:uid="{00000000-0005-0000-0000-00002B040000}"/>
    <cellStyle name="SAPBEXchaText 4" xfId="1056" xr:uid="{00000000-0005-0000-0000-00002C040000}"/>
    <cellStyle name="SAPBEXchaText 5" xfId="1057" xr:uid="{00000000-0005-0000-0000-00002D040000}"/>
    <cellStyle name="SAPBEXchaText 6" xfId="1058" xr:uid="{00000000-0005-0000-0000-00002E040000}"/>
    <cellStyle name="SAPBEXchaText 7" xfId="1059" xr:uid="{00000000-0005-0000-0000-00002F040000}"/>
    <cellStyle name="SAPBEXchaText 8" xfId="1060" xr:uid="{00000000-0005-0000-0000-000030040000}"/>
    <cellStyle name="SAPBEXchaText 9" xfId="1061" xr:uid="{00000000-0005-0000-0000-000031040000}"/>
    <cellStyle name="SAPBEXchaText_gxaccion, 68" xfId="1062" xr:uid="{00000000-0005-0000-0000-000032040000}"/>
    <cellStyle name="SAPBEXexcBad7" xfId="1063" xr:uid="{00000000-0005-0000-0000-000033040000}"/>
    <cellStyle name="SAPBEXexcBad7 10" xfId="1064" xr:uid="{00000000-0005-0000-0000-000034040000}"/>
    <cellStyle name="SAPBEXexcBad7 11" xfId="1065" xr:uid="{00000000-0005-0000-0000-000035040000}"/>
    <cellStyle name="SAPBEXexcBad7 2" xfId="1066" xr:uid="{00000000-0005-0000-0000-000036040000}"/>
    <cellStyle name="SAPBEXexcBad7 2 2" xfId="1067" xr:uid="{00000000-0005-0000-0000-000037040000}"/>
    <cellStyle name="SAPBEXexcBad7 2 2 2" xfId="1068" xr:uid="{00000000-0005-0000-0000-000038040000}"/>
    <cellStyle name="SAPBEXexcBad7 3" xfId="1069" xr:uid="{00000000-0005-0000-0000-000039040000}"/>
    <cellStyle name="SAPBEXexcBad7 4" xfId="1070" xr:uid="{00000000-0005-0000-0000-00003A040000}"/>
    <cellStyle name="SAPBEXexcBad7 5" xfId="1071" xr:uid="{00000000-0005-0000-0000-00003B040000}"/>
    <cellStyle name="SAPBEXexcBad7 6" xfId="1072" xr:uid="{00000000-0005-0000-0000-00003C040000}"/>
    <cellStyle name="SAPBEXexcBad7 7" xfId="1073" xr:uid="{00000000-0005-0000-0000-00003D040000}"/>
    <cellStyle name="SAPBEXexcBad7 8" xfId="1074" xr:uid="{00000000-0005-0000-0000-00003E040000}"/>
    <cellStyle name="SAPBEXexcBad7 9" xfId="1075" xr:uid="{00000000-0005-0000-0000-00003F040000}"/>
    <cellStyle name="SAPBEXexcBad7_gxaccion, 68" xfId="1076" xr:uid="{00000000-0005-0000-0000-000040040000}"/>
    <cellStyle name="SAPBEXexcBad8" xfId="1077" xr:uid="{00000000-0005-0000-0000-000041040000}"/>
    <cellStyle name="SAPBEXexcBad8 10" xfId="1078" xr:uid="{00000000-0005-0000-0000-000042040000}"/>
    <cellStyle name="SAPBEXexcBad8 11" xfId="1079" xr:uid="{00000000-0005-0000-0000-000043040000}"/>
    <cellStyle name="SAPBEXexcBad8 2" xfId="1080" xr:uid="{00000000-0005-0000-0000-000044040000}"/>
    <cellStyle name="SAPBEXexcBad8 2 2" xfId="1081" xr:uid="{00000000-0005-0000-0000-000045040000}"/>
    <cellStyle name="SAPBEXexcBad8 2 2 2" xfId="1082" xr:uid="{00000000-0005-0000-0000-000046040000}"/>
    <cellStyle name="SAPBEXexcBad8 3" xfId="1083" xr:uid="{00000000-0005-0000-0000-000047040000}"/>
    <cellStyle name="SAPBEXexcBad8 4" xfId="1084" xr:uid="{00000000-0005-0000-0000-000048040000}"/>
    <cellStyle name="SAPBEXexcBad8 5" xfId="1085" xr:uid="{00000000-0005-0000-0000-000049040000}"/>
    <cellStyle name="SAPBEXexcBad8 6" xfId="1086" xr:uid="{00000000-0005-0000-0000-00004A040000}"/>
    <cellStyle name="SAPBEXexcBad8 7" xfId="1087" xr:uid="{00000000-0005-0000-0000-00004B040000}"/>
    <cellStyle name="SAPBEXexcBad8 8" xfId="1088" xr:uid="{00000000-0005-0000-0000-00004C040000}"/>
    <cellStyle name="SAPBEXexcBad8 9" xfId="1089" xr:uid="{00000000-0005-0000-0000-00004D040000}"/>
    <cellStyle name="SAPBEXexcBad8_gxaccion, 68" xfId="1090" xr:uid="{00000000-0005-0000-0000-00004E040000}"/>
    <cellStyle name="SAPBEXexcBad9" xfId="1091" xr:uid="{00000000-0005-0000-0000-00004F040000}"/>
    <cellStyle name="SAPBEXexcBad9 10" xfId="1092" xr:uid="{00000000-0005-0000-0000-000050040000}"/>
    <cellStyle name="SAPBEXexcBad9 11" xfId="1093" xr:uid="{00000000-0005-0000-0000-000051040000}"/>
    <cellStyle name="SAPBEXexcBad9 2" xfId="1094" xr:uid="{00000000-0005-0000-0000-000052040000}"/>
    <cellStyle name="SAPBEXexcBad9 2 2" xfId="1095" xr:uid="{00000000-0005-0000-0000-000053040000}"/>
    <cellStyle name="SAPBEXexcBad9 2 2 2" xfId="1096" xr:uid="{00000000-0005-0000-0000-000054040000}"/>
    <cellStyle name="SAPBEXexcBad9 3" xfId="1097" xr:uid="{00000000-0005-0000-0000-000055040000}"/>
    <cellStyle name="SAPBEXexcBad9 4" xfId="1098" xr:uid="{00000000-0005-0000-0000-000056040000}"/>
    <cellStyle name="SAPBEXexcBad9 5" xfId="1099" xr:uid="{00000000-0005-0000-0000-000057040000}"/>
    <cellStyle name="SAPBEXexcBad9 6" xfId="1100" xr:uid="{00000000-0005-0000-0000-000058040000}"/>
    <cellStyle name="SAPBEXexcBad9 7" xfId="1101" xr:uid="{00000000-0005-0000-0000-000059040000}"/>
    <cellStyle name="SAPBEXexcBad9 8" xfId="1102" xr:uid="{00000000-0005-0000-0000-00005A040000}"/>
    <cellStyle name="SAPBEXexcBad9 9" xfId="1103" xr:uid="{00000000-0005-0000-0000-00005B040000}"/>
    <cellStyle name="SAPBEXexcBad9_gxaccion, 68" xfId="1104" xr:uid="{00000000-0005-0000-0000-00005C040000}"/>
    <cellStyle name="SAPBEXexcCritical4" xfId="1105" xr:uid="{00000000-0005-0000-0000-00005D040000}"/>
    <cellStyle name="SAPBEXexcCritical4 10" xfId="1106" xr:uid="{00000000-0005-0000-0000-00005E040000}"/>
    <cellStyle name="SAPBEXexcCritical4 11" xfId="1107" xr:uid="{00000000-0005-0000-0000-00005F040000}"/>
    <cellStyle name="SAPBEXexcCritical4 2" xfId="1108" xr:uid="{00000000-0005-0000-0000-000060040000}"/>
    <cellStyle name="SAPBEXexcCritical4 2 2" xfId="1109" xr:uid="{00000000-0005-0000-0000-000061040000}"/>
    <cellStyle name="SAPBEXexcCritical4 2 2 2" xfId="1110" xr:uid="{00000000-0005-0000-0000-000062040000}"/>
    <cellStyle name="SAPBEXexcCritical4 3" xfId="1111" xr:uid="{00000000-0005-0000-0000-000063040000}"/>
    <cellStyle name="SAPBEXexcCritical4 4" xfId="1112" xr:uid="{00000000-0005-0000-0000-000064040000}"/>
    <cellStyle name="SAPBEXexcCritical4 5" xfId="1113" xr:uid="{00000000-0005-0000-0000-000065040000}"/>
    <cellStyle name="SAPBEXexcCritical4 6" xfId="1114" xr:uid="{00000000-0005-0000-0000-000066040000}"/>
    <cellStyle name="SAPBEXexcCritical4 7" xfId="1115" xr:uid="{00000000-0005-0000-0000-000067040000}"/>
    <cellStyle name="SAPBEXexcCritical4 8" xfId="1116" xr:uid="{00000000-0005-0000-0000-000068040000}"/>
    <cellStyle name="SAPBEXexcCritical4 9" xfId="1117" xr:uid="{00000000-0005-0000-0000-000069040000}"/>
    <cellStyle name="SAPBEXexcCritical4_gxaccion, 68" xfId="1118" xr:uid="{00000000-0005-0000-0000-00006A040000}"/>
    <cellStyle name="SAPBEXexcCritical5" xfId="1119" xr:uid="{00000000-0005-0000-0000-00006B040000}"/>
    <cellStyle name="SAPBEXexcCritical5 10" xfId="1120" xr:uid="{00000000-0005-0000-0000-00006C040000}"/>
    <cellStyle name="SAPBEXexcCritical5 11" xfId="1121" xr:uid="{00000000-0005-0000-0000-00006D040000}"/>
    <cellStyle name="SAPBEXexcCritical5 2" xfId="1122" xr:uid="{00000000-0005-0000-0000-00006E040000}"/>
    <cellStyle name="SAPBEXexcCritical5 2 2" xfId="1123" xr:uid="{00000000-0005-0000-0000-00006F040000}"/>
    <cellStyle name="SAPBEXexcCritical5 2 2 2" xfId="1124" xr:uid="{00000000-0005-0000-0000-000070040000}"/>
    <cellStyle name="SAPBEXexcCritical5 3" xfId="1125" xr:uid="{00000000-0005-0000-0000-000071040000}"/>
    <cellStyle name="SAPBEXexcCritical5 4" xfId="1126" xr:uid="{00000000-0005-0000-0000-000072040000}"/>
    <cellStyle name="SAPBEXexcCritical5 5" xfId="1127" xr:uid="{00000000-0005-0000-0000-000073040000}"/>
    <cellStyle name="SAPBEXexcCritical5 6" xfId="1128" xr:uid="{00000000-0005-0000-0000-000074040000}"/>
    <cellStyle name="SAPBEXexcCritical5 7" xfId="1129" xr:uid="{00000000-0005-0000-0000-000075040000}"/>
    <cellStyle name="SAPBEXexcCritical5 8" xfId="1130" xr:uid="{00000000-0005-0000-0000-000076040000}"/>
    <cellStyle name="SAPBEXexcCritical5 9" xfId="1131" xr:uid="{00000000-0005-0000-0000-000077040000}"/>
    <cellStyle name="SAPBEXexcCritical5_gxaccion, 68" xfId="1132" xr:uid="{00000000-0005-0000-0000-000078040000}"/>
    <cellStyle name="SAPBEXexcCritical6" xfId="1133" xr:uid="{00000000-0005-0000-0000-000079040000}"/>
    <cellStyle name="SAPBEXexcCritical6 10" xfId="1134" xr:uid="{00000000-0005-0000-0000-00007A040000}"/>
    <cellStyle name="SAPBEXexcCritical6 11" xfId="1135" xr:uid="{00000000-0005-0000-0000-00007B040000}"/>
    <cellStyle name="SAPBEXexcCritical6 2" xfId="1136" xr:uid="{00000000-0005-0000-0000-00007C040000}"/>
    <cellStyle name="SAPBEXexcCritical6 2 2" xfId="1137" xr:uid="{00000000-0005-0000-0000-00007D040000}"/>
    <cellStyle name="SAPBEXexcCritical6 2 2 2" xfId="1138" xr:uid="{00000000-0005-0000-0000-00007E040000}"/>
    <cellStyle name="SAPBEXexcCritical6 3" xfId="1139" xr:uid="{00000000-0005-0000-0000-00007F040000}"/>
    <cellStyle name="SAPBEXexcCritical6 4" xfId="1140" xr:uid="{00000000-0005-0000-0000-000080040000}"/>
    <cellStyle name="SAPBEXexcCritical6 5" xfId="1141" xr:uid="{00000000-0005-0000-0000-000081040000}"/>
    <cellStyle name="SAPBEXexcCritical6 6" xfId="1142" xr:uid="{00000000-0005-0000-0000-000082040000}"/>
    <cellStyle name="SAPBEXexcCritical6 7" xfId="1143" xr:uid="{00000000-0005-0000-0000-000083040000}"/>
    <cellStyle name="SAPBEXexcCritical6 8" xfId="1144" xr:uid="{00000000-0005-0000-0000-000084040000}"/>
    <cellStyle name="SAPBEXexcCritical6 9" xfId="1145" xr:uid="{00000000-0005-0000-0000-000085040000}"/>
    <cellStyle name="SAPBEXexcCritical6_gxaccion, 68" xfId="1146" xr:uid="{00000000-0005-0000-0000-000086040000}"/>
    <cellStyle name="SAPBEXexcGood1" xfId="1147" xr:uid="{00000000-0005-0000-0000-000087040000}"/>
    <cellStyle name="SAPBEXexcGood1 10" xfId="1148" xr:uid="{00000000-0005-0000-0000-000088040000}"/>
    <cellStyle name="SAPBEXexcGood1 11" xfId="1149" xr:uid="{00000000-0005-0000-0000-000089040000}"/>
    <cellStyle name="SAPBEXexcGood1 2" xfId="1150" xr:uid="{00000000-0005-0000-0000-00008A040000}"/>
    <cellStyle name="SAPBEXexcGood1 2 2" xfId="1151" xr:uid="{00000000-0005-0000-0000-00008B040000}"/>
    <cellStyle name="SAPBEXexcGood1 2 2 2" xfId="1152" xr:uid="{00000000-0005-0000-0000-00008C040000}"/>
    <cellStyle name="SAPBEXexcGood1 3" xfId="1153" xr:uid="{00000000-0005-0000-0000-00008D040000}"/>
    <cellStyle name="SAPBEXexcGood1 4" xfId="1154" xr:uid="{00000000-0005-0000-0000-00008E040000}"/>
    <cellStyle name="SAPBEXexcGood1 5" xfId="1155" xr:uid="{00000000-0005-0000-0000-00008F040000}"/>
    <cellStyle name="SAPBEXexcGood1 6" xfId="1156" xr:uid="{00000000-0005-0000-0000-000090040000}"/>
    <cellStyle name="SAPBEXexcGood1 7" xfId="1157" xr:uid="{00000000-0005-0000-0000-000091040000}"/>
    <cellStyle name="SAPBEXexcGood1 8" xfId="1158" xr:uid="{00000000-0005-0000-0000-000092040000}"/>
    <cellStyle name="SAPBEXexcGood1 9" xfId="1159" xr:uid="{00000000-0005-0000-0000-000093040000}"/>
    <cellStyle name="SAPBEXexcGood1_gxaccion, 68" xfId="1160" xr:uid="{00000000-0005-0000-0000-000094040000}"/>
    <cellStyle name="SAPBEXexcGood2" xfId="1161" xr:uid="{00000000-0005-0000-0000-000095040000}"/>
    <cellStyle name="SAPBEXexcGood2 10" xfId="1162" xr:uid="{00000000-0005-0000-0000-000096040000}"/>
    <cellStyle name="SAPBEXexcGood2 11" xfId="1163" xr:uid="{00000000-0005-0000-0000-000097040000}"/>
    <cellStyle name="SAPBEXexcGood2 2" xfId="1164" xr:uid="{00000000-0005-0000-0000-000098040000}"/>
    <cellStyle name="SAPBEXexcGood2 2 2" xfId="1165" xr:uid="{00000000-0005-0000-0000-000099040000}"/>
    <cellStyle name="SAPBEXexcGood2 2 2 2" xfId="1166" xr:uid="{00000000-0005-0000-0000-00009A040000}"/>
    <cellStyle name="SAPBEXexcGood2 3" xfId="1167" xr:uid="{00000000-0005-0000-0000-00009B040000}"/>
    <cellStyle name="SAPBEXexcGood2 4" xfId="1168" xr:uid="{00000000-0005-0000-0000-00009C040000}"/>
    <cellStyle name="SAPBEXexcGood2 5" xfId="1169" xr:uid="{00000000-0005-0000-0000-00009D040000}"/>
    <cellStyle name="SAPBEXexcGood2 6" xfId="1170" xr:uid="{00000000-0005-0000-0000-00009E040000}"/>
    <cellStyle name="SAPBEXexcGood2 7" xfId="1171" xr:uid="{00000000-0005-0000-0000-00009F040000}"/>
    <cellStyle name="SAPBEXexcGood2 8" xfId="1172" xr:uid="{00000000-0005-0000-0000-0000A0040000}"/>
    <cellStyle name="SAPBEXexcGood2 9" xfId="1173" xr:uid="{00000000-0005-0000-0000-0000A1040000}"/>
    <cellStyle name="SAPBEXexcGood2_gxaccion, 68" xfId="1174" xr:uid="{00000000-0005-0000-0000-0000A2040000}"/>
    <cellStyle name="SAPBEXexcGood3" xfId="1175" xr:uid="{00000000-0005-0000-0000-0000A3040000}"/>
    <cellStyle name="SAPBEXexcGood3 10" xfId="1176" xr:uid="{00000000-0005-0000-0000-0000A4040000}"/>
    <cellStyle name="SAPBEXexcGood3 11" xfId="1177" xr:uid="{00000000-0005-0000-0000-0000A5040000}"/>
    <cellStyle name="SAPBEXexcGood3 2" xfId="1178" xr:uid="{00000000-0005-0000-0000-0000A6040000}"/>
    <cellStyle name="SAPBEXexcGood3 2 2" xfId="1179" xr:uid="{00000000-0005-0000-0000-0000A7040000}"/>
    <cellStyle name="SAPBEXexcGood3 2 2 2" xfId="1180" xr:uid="{00000000-0005-0000-0000-0000A8040000}"/>
    <cellStyle name="SAPBEXexcGood3 3" xfId="1181" xr:uid="{00000000-0005-0000-0000-0000A9040000}"/>
    <cellStyle name="SAPBEXexcGood3 4" xfId="1182" xr:uid="{00000000-0005-0000-0000-0000AA040000}"/>
    <cellStyle name="SAPBEXexcGood3 5" xfId="1183" xr:uid="{00000000-0005-0000-0000-0000AB040000}"/>
    <cellStyle name="SAPBEXexcGood3 6" xfId="1184" xr:uid="{00000000-0005-0000-0000-0000AC040000}"/>
    <cellStyle name="SAPBEXexcGood3 7" xfId="1185" xr:uid="{00000000-0005-0000-0000-0000AD040000}"/>
    <cellStyle name="SAPBEXexcGood3 8" xfId="1186" xr:uid="{00000000-0005-0000-0000-0000AE040000}"/>
    <cellStyle name="SAPBEXexcGood3 9" xfId="1187" xr:uid="{00000000-0005-0000-0000-0000AF040000}"/>
    <cellStyle name="SAPBEXexcGood3_gxaccion, 68" xfId="1188" xr:uid="{00000000-0005-0000-0000-0000B0040000}"/>
    <cellStyle name="SAPBEXfilterDrill" xfId="1189" xr:uid="{00000000-0005-0000-0000-0000B1040000}"/>
    <cellStyle name="SAPBEXfilterDrill 10" xfId="1190" xr:uid="{00000000-0005-0000-0000-0000B2040000}"/>
    <cellStyle name="SAPBEXfilterDrill 11" xfId="1191" xr:uid="{00000000-0005-0000-0000-0000B3040000}"/>
    <cellStyle name="SAPBEXfilterDrill 2" xfId="1192" xr:uid="{00000000-0005-0000-0000-0000B4040000}"/>
    <cellStyle name="SAPBEXfilterDrill 2 2" xfId="1193" xr:uid="{00000000-0005-0000-0000-0000B5040000}"/>
    <cellStyle name="SAPBEXfilterDrill 2 2 2" xfId="1194" xr:uid="{00000000-0005-0000-0000-0000B6040000}"/>
    <cellStyle name="SAPBEXfilterDrill 3" xfId="1195" xr:uid="{00000000-0005-0000-0000-0000B7040000}"/>
    <cellStyle name="SAPBEXfilterDrill 4" xfId="1196" xr:uid="{00000000-0005-0000-0000-0000B8040000}"/>
    <cellStyle name="SAPBEXfilterDrill 5" xfId="1197" xr:uid="{00000000-0005-0000-0000-0000B9040000}"/>
    <cellStyle name="SAPBEXfilterDrill 6" xfId="1198" xr:uid="{00000000-0005-0000-0000-0000BA040000}"/>
    <cellStyle name="SAPBEXfilterDrill 7" xfId="1199" xr:uid="{00000000-0005-0000-0000-0000BB040000}"/>
    <cellStyle name="SAPBEXfilterDrill 8" xfId="1200" xr:uid="{00000000-0005-0000-0000-0000BC040000}"/>
    <cellStyle name="SAPBEXfilterDrill 9" xfId="1201" xr:uid="{00000000-0005-0000-0000-0000BD040000}"/>
    <cellStyle name="SAPBEXfilterDrill_gxaccion, 68" xfId="1202" xr:uid="{00000000-0005-0000-0000-0000BE040000}"/>
    <cellStyle name="SAPBEXfilterItem" xfId="1203" xr:uid="{00000000-0005-0000-0000-0000BF040000}"/>
    <cellStyle name="SAPBEXfilterItem 10" xfId="1204" xr:uid="{00000000-0005-0000-0000-0000C0040000}"/>
    <cellStyle name="SAPBEXfilterItem 11" xfId="1205" xr:uid="{00000000-0005-0000-0000-0000C1040000}"/>
    <cellStyle name="SAPBEXfilterItem 2" xfId="1206" xr:uid="{00000000-0005-0000-0000-0000C2040000}"/>
    <cellStyle name="SAPBEXfilterItem 2 2" xfId="1207" xr:uid="{00000000-0005-0000-0000-0000C3040000}"/>
    <cellStyle name="SAPBEXfilterItem 2 2 2" xfId="1208" xr:uid="{00000000-0005-0000-0000-0000C4040000}"/>
    <cellStyle name="SAPBEXfilterItem 3" xfId="1209" xr:uid="{00000000-0005-0000-0000-0000C5040000}"/>
    <cellStyle name="SAPBEXfilterItem 4" xfId="1210" xr:uid="{00000000-0005-0000-0000-0000C6040000}"/>
    <cellStyle name="SAPBEXfilterItem 5" xfId="1211" xr:uid="{00000000-0005-0000-0000-0000C7040000}"/>
    <cellStyle name="SAPBEXfilterItem 6" xfId="1212" xr:uid="{00000000-0005-0000-0000-0000C8040000}"/>
    <cellStyle name="SAPBEXfilterItem 7" xfId="1213" xr:uid="{00000000-0005-0000-0000-0000C9040000}"/>
    <cellStyle name="SAPBEXfilterItem 8" xfId="1214" xr:uid="{00000000-0005-0000-0000-0000CA040000}"/>
    <cellStyle name="SAPBEXfilterItem 9" xfId="1215" xr:uid="{00000000-0005-0000-0000-0000CB040000}"/>
    <cellStyle name="SAPBEXfilterText" xfId="1216" xr:uid="{00000000-0005-0000-0000-0000CC040000}"/>
    <cellStyle name="SAPBEXfilterText 10" xfId="1217" xr:uid="{00000000-0005-0000-0000-0000CD040000}"/>
    <cellStyle name="SAPBEXfilterText 11" xfId="1218" xr:uid="{00000000-0005-0000-0000-0000CE040000}"/>
    <cellStyle name="SAPBEXfilterText 2" xfId="1219" xr:uid="{00000000-0005-0000-0000-0000CF040000}"/>
    <cellStyle name="SAPBEXfilterText 2 2" xfId="1220" xr:uid="{00000000-0005-0000-0000-0000D0040000}"/>
    <cellStyle name="SAPBEXfilterText 2 2 2" xfId="1221" xr:uid="{00000000-0005-0000-0000-0000D1040000}"/>
    <cellStyle name="SAPBEXfilterText 3" xfId="1222" xr:uid="{00000000-0005-0000-0000-0000D2040000}"/>
    <cellStyle name="SAPBEXfilterText 4" xfId="1223" xr:uid="{00000000-0005-0000-0000-0000D3040000}"/>
    <cellStyle name="SAPBEXfilterText 5" xfId="1224" xr:uid="{00000000-0005-0000-0000-0000D4040000}"/>
    <cellStyle name="SAPBEXfilterText 6" xfId="1225" xr:uid="{00000000-0005-0000-0000-0000D5040000}"/>
    <cellStyle name="SAPBEXfilterText 7" xfId="1226" xr:uid="{00000000-0005-0000-0000-0000D6040000}"/>
    <cellStyle name="SAPBEXfilterText 8" xfId="1227" xr:uid="{00000000-0005-0000-0000-0000D7040000}"/>
    <cellStyle name="SAPBEXfilterText 9" xfId="1228" xr:uid="{00000000-0005-0000-0000-0000D8040000}"/>
    <cellStyle name="SAPBEXformats" xfId="1229" xr:uid="{00000000-0005-0000-0000-0000D9040000}"/>
    <cellStyle name="SAPBEXformats 10" xfId="1230" xr:uid="{00000000-0005-0000-0000-0000DA040000}"/>
    <cellStyle name="SAPBEXformats 11" xfId="1231" xr:uid="{00000000-0005-0000-0000-0000DB040000}"/>
    <cellStyle name="SAPBEXformats 2" xfId="1232" xr:uid="{00000000-0005-0000-0000-0000DC040000}"/>
    <cellStyle name="SAPBEXformats 2 2" xfId="1233" xr:uid="{00000000-0005-0000-0000-0000DD040000}"/>
    <cellStyle name="SAPBEXformats 2 2 2" xfId="1234" xr:uid="{00000000-0005-0000-0000-0000DE040000}"/>
    <cellStyle name="SAPBEXformats 3" xfId="1235" xr:uid="{00000000-0005-0000-0000-0000DF040000}"/>
    <cellStyle name="SAPBEXformats 4" xfId="1236" xr:uid="{00000000-0005-0000-0000-0000E0040000}"/>
    <cellStyle name="SAPBEXformats 5" xfId="1237" xr:uid="{00000000-0005-0000-0000-0000E1040000}"/>
    <cellStyle name="SAPBEXformats 6" xfId="1238" xr:uid="{00000000-0005-0000-0000-0000E2040000}"/>
    <cellStyle name="SAPBEXformats 7" xfId="1239" xr:uid="{00000000-0005-0000-0000-0000E3040000}"/>
    <cellStyle name="SAPBEXformats 8" xfId="1240" xr:uid="{00000000-0005-0000-0000-0000E4040000}"/>
    <cellStyle name="SAPBEXformats 9" xfId="1241" xr:uid="{00000000-0005-0000-0000-0000E5040000}"/>
    <cellStyle name="SAPBEXformats_gxaccion, 68" xfId="1242" xr:uid="{00000000-0005-0000-0000-0000E6040000}"/>
    <cellStyle name="SAPBEXheaderItem" xfId="1243" xr:uid="{00000000-0005-0000-0000-0000E7040000}"/>
    <cellStyle name="SAPBEXheaderItem 10" xfId="1244" xr:uid="{00000000-0005-0000-0000-0000E8040000}"/>
    <cellStyle name="SAPBEXheaderItem 11" xfId="1245" xr:uid="{00000000-0005-0000-0000-0000E9040000}"/>
    <cellStyle name="SAPBEXheaderItem 2" xfId="1246" xr:uid="{00000000-0005-0000-0000-0000EA040000}"/>
    <cellStyle name="SAPBEXheaderItem 2 2" xfId="1247" xr:uid="{00000000-0005-0000-0000-0000EB040000}"/>
    <cellStyle name="SAPBEXheaderItem 2 2 2" xfId="1248" xr:uid="{00000000-0005-0000-0000-0000EC040000}"/>
    <cellStyle name="SAPBEXheaderItem 3" xfId="1249" xr:uid="{00000000-0005-0000-0000-0000ED040000}"/>
    <cellStyle name="SAPBEXheaderItem 4" xfId="1250" xr:uid="{00000000-0005-0000-0000-0000EE040000}"/>
    <cellStyle name="SAPBEXheaderItem 5" xfId="1251" xr:uid="{00000000-0005-0000-0000-0000EF040000}"/>
    <cellStyle name="SAPBEXheaderItem 6" xfId="1252" xr:uid="{00000000-0005-0000-0000-0000F0040000}"/>
    <cellStyle name="SAPBEXheaderItem 7" xfId="1253" xr:uid="{00000000-0005-0000-0000-0000F1040000}"/>
    <cellStyle name="SAPBEXheaderItem 8" xfId="1254" xr:uid="{00000000-0005-0000-0000-0000F2040000}"/>
    <cellStyle name="SAPBEXheaderItem 9" xfId="1255" xr:uid="{00000000-0005-0000-0000-0000F3040000}"/>
    <cellStyle name="SAPBEXheaderItem_gxaccion, 68" xfId="1256" xr:uid="{00000000-0005-0000-0000-0000F4040000}"/>
    <cellStyle name="SAPBEXheaderText" xfId="1257" xr:uid="{00000000-0005-0000-0000-0000F5040000}"/>
    <cellStyle name="SAPBEXheaderText 10" xfId="1258" xr:uid="{00000000-0005-0000-0000-0000F6040000}"/>
    <cellStyle name="SAPBEXheaderText 11" xfId="1259" xr:uid="{00000000-0005-0000-0000-0000F7040000}"/>
    <cellStyle name="SAPBEXheaderText 2" xfId="1260" xr:uid="{00000000-0005-0000-0000-0000F8040000}"/>
    <cellStyle name="SAPBEXheaderText 2 2" xfId="1261" xr:uid="{00000000-0005-0000-0000-0000F9040000}"/>
    <cellStyle name="SAPBEXheaderText 2 2 2" xfId="1262" xr:uid="{00000000-0005-0000-0000-0000FA040000}"/>
    <cellStyle name="SAPBEXheaderText 3" xfId="1263" xr:uid="{00000000-0005-0000-0000-0000FB040000}"/>
    <cellStyle name="SAPBEXheaderText 4" xfId="1264" xr:uid="{00000000-0005-0000-0000-0000FC040000}"/>
    <cellStyle name="SAPBEXheaderText 5" xfId="1265" xr:uid="{00000000-0005-0000-0000-0000FD040000}"/>
    <cellStyle name="SAPBEXheaderText 6" xfId="1266" xr:uid="{00000000-0005-0000-0000-0000FE040000}"/>
    <cellStyle name="SAPBEXheaderText 7" xfId="1267" xr:uid="{00000000-0005-0000-0000-0000FF040000}"/>
    <cellStyle name="SAPBEXheaderText 8" xfId="1268" xr:uid="{00000000-0005-0000-0000-000000050000}"/>
    <cellStyle name="SAPBEXheaderText 9" xfId="1269" xr:uid="{00000000-0005-0000-0000-000001050000}"/>
    <cellStyle name="SAPBEXheaderText_gxaccion, 68" xfId="1270" xr:uid="{00000000-0005-0000-0000-000002050000}"/>
    <cellStyle name="SAPBEXHLevel0" xfId="1271" xr:uid="{00000000-0005-0000-0000-000003050000}"/>
    <cellStyle name="SAPBEXHLevel0 10" xfId="1272" xr:uid="{00000000-0005-0000-0000-000004050000}"/>
    <cellStyle name="SAPBEXHLevel0 11" xfId="1273" xr:uid="{00000000-0005-0000-0000-000005050000}"/>
    <cellStyle name="SAPBEXHLevel0 2" xfId="1274" xr:uid="{00000000-0005-0000-0000-000006050000}"/>
    <cellStyle name="SAPBEXHLevel0 2 2" xfId="1275" xr:uid="{00000000-0005-0000-0000-000007050000}"/>
    <cellStyle name="SAPBEXHLevel0 2 2 2" xfId="1276" xr:uid="{00000000-0005-0000-0000-000008050000}"/>
    <cellStyle name="SAPBEXHLevel0 3" xfId="1277" xr:uid="{00000000-0005-0000-0000-000009050000}"/>
    <cellStyle name="SAPBEXHLevel0 4" xfId="1278" xr:uid="{00000000-0005-0000-0000-00000A050000}"/>
    <cellStyle name="SAPBEXHLevel0 5" xfId="1279" xr:uid="{00000000-0005-0000-0000-00000B050000}"/>
    <cellStyle name="SAPBEXHLevel0 6" xfId="1280" xr:uid="{00000000-0005-0000-0000-00000C050000}"/>
    <cellStyle name="SAPBEXHLevel0 7" xfId="1281" xr:uid="{00000000-0005-0000-0000-00000D050000}"/>
    <cellStyle name="SAPBEXHLevel0 8" xfId="1282" xr:uid="{00000000-0005-0000-0000-00000E050000}"/>
    <cellStyle name="SAPBEXHLevel0 9" xfId="1283" xr:uid="{00000000-0005-0000-0000-00000F050000}"/>
    <cellStyle name="SAPBEXHLevel0_gxaccion, 68" xfId="1284" xr:uid="{00000000-0005-0000-0000-000010050000}"/>
    <cellStyle name="SAPBEXHLevel0X" xfId="1285" xr:uid="{00000000-0005-0000-0000-000011050000}"/>
    <cellStyle name="SAPBEXHLevel0X 10" xfId="1286" xr:uid="{00000000-0005-0000-0000-000012050000}"/>
    <cellStyle name="SAPBEXHLevel0X 11" xfId="1287" xr:uid="{00000000-0005-0000-0000-000013050000}"/>
    <cellStyle name="SAPBEXHLevel0X 2" xfId="1288" xr:uid="{00000000-0005-0000-0000-000014050000}"/>
    <cellStyle name="SAPBEXHLevel0X 2 2" xfId="1289" xr:uid="{00000000-0005-0000-0000-000015050000}"/>
    <cellStyle name="SAPBEXHLevel0X 2 2 2" xfId="1290" xr:uid="{00000000-0005-0000-0000-000016050000}"/>
    <cellStyle name="SAPBEXHLevel0X 3" xfId="1291" xr:uid="{00000000-0005-0000-0000-000017050000}"/>
    <cellStyle name="SAPBEXHLevel0X 4" xfId="1292" xr:uid="{00000000-0005-0000-0000-000018050000}"/>
    <cellStyle name="SAPBEXHLevel0X 5" xfId="1293" xr:uid="{00000000-0005-0000-0000-000019050000}"/>
    <cellStyle name="SAPBEXHLevel0X 6" xfId="1294" xr:uid="{00000000-0005-0000-0000-00001A050000}"/>
    <cellStyle name="SAPBEXHLevel0X 7" xfId="1295" xr:uid="{00000000-0005-0000-0000-00001B050000}"/>
    <cellStyle name="SAPBEXHLevel0X 8" xfId="1296" xr:uid="{00000000-0005-0000-0000-00001C050000}"/>
    <cellStyle name="SAPBEXHLevel0X 9" xfId="1297" xr:uid="{00000000-0005-0000-0000-00001D050000}"/>
    <cellStyle name="SAPBEXHLevel0X_gxaccion, 68" xfId="1298" xr:uid="{00000000-0005-0000-0000-00001E050000}"/>
    <cellStyle name="SAPBEXHLevel1" xfId="1299" xr:uid="{00000000-0005-0000-0000-00001F050000}"/>
    <cellStyle name="SAPBEXHLevel1 10" xfId="1300" xr:uid="{00000000-0005-0000-0000-000020050000}"/>
    <cellStyle name="SAPBEXHLevel1 11" xfId="1301" xr:uid="{00000000-0005-0000-0000-000021050000}"/>
    <cellStyle name="SAPBEXHLevel1 2" xfId="1302" xr:uid="{00000000-0005-0000-0000-000022050000}"/>
    <cellStyle name="SAPBEXHLevel1 2 2" xfId="1303" xr:uid="{00000000-0005-0000-0000-000023050000}"/>
    <cellStyle name="SAPBEXHLevel1 2 2 2" xfId="1304" xr:uid="{00000000-0005-0000-0000-000024050000}"/>
    <cellStyle name="SAPBEXHLevel1 3" xfId="1305" xr:uid="{00000000-0005-0000-0000-000025050000}"/>
    <cellStyle name="SAPBEXHLevel1 4" xfId="1306" xr:uid="{00000000-0005-0000-0000-000026050000}"/>
    <cellStyle name="SAPBEXHLevel1 5" xfId="1307" xr:uid="{00000000-0005-0000-0000-000027050000}"/>
    <cellStyle name="SAPBEXHLevel1 6" xfId="1308" xr:uid="{00000000-0005-0000-0000-000028050000}"/>
    <cellStyle name="SAPBEXHLevel1 7" xfId="1309" xr:uid="{00000000-0005-0000-0000-000029050000}"/>
    <cellStyle name="SAPBEXHLevel1 8" xfId="1310" xr:uid="{00000000-0005-0000-0000-00002A050000}"/>
    <cellStyle name="SAPBEXHLevel1 9" xfId="1311" xr:uid="{00000000-0005-0000-0000-00002B050000}"/>
    <cellStyle name="SAPBEXHLevel1_gxaccion, 68" xfId="1312" xr:uid="{00000000-0005-0000-0000-00002C050000}"/>
    <cellStyle name="SAPBEXHLevel1X" xfId="1313" xr:uid="{00000000-0005-0000-0000-00002D050000}"/>
    <cellStyle name="SAPBEXHLevel1X 10" xfId="1314" xr:uid="{00000000-0005-0000-0000-00002E050000}"/>
    <cellStyle name="SAPBEXHLevel1X 11" xfId="1315" xr:uid="{00000000-0005-0000-0000-00002F050000}"/>
    <cellStyle name="SAPBEXHLevel1X 2" xfId="1316" xr:uid="{00000000-0005-0000-0000-000030050000}"/>
    <cellStyle name="SAPBEXHLevel1X 2 2" xfId="1317" xr:uid="{00000000-0005-0000-0000-000031050000}"/>
    <cellStyle name="SAPBEXHLevel1X 2 2 2" xfId="1318" xr:uid="{00000000-0005-0000-0000-000032050000}"/>
    <cellStyle name="SAPBEXHLevel1X 3" xfId="1319" xr:uid="{00000000-0005-0000-0000-000033050000}"/>
    <cellStyle name="SAPBEXHLevel1X 4" xfId="1320" xr:uid="{00000000-0005-0000-0000-000034050000}"/>
    <cellStyle name="SAPBEXHLevel1X 5" xfId="1321" xr:uid="{00000000-0005-0000-0000-000035050000}"/>
    <cellStyle name="SAPBEXHLevel1X 6" xfId="1322" xr:uid="{00000000-0005-0000-0000-000036050000}"/>
    <cellStyle name="SAPBEXHLevel1X 7" xfId="1323" xr:uid="{00000000-0005-0000-0000-000037050000}"/>
    <cellStyle name="SAPBEXHLevel1X 8" xfId="1324" xr:uid="{00000000-0005-0000-0000-000038050000}"/>
    <cellStyle name="SAPBEXHLevel1X 9" xfId="1325" xr:uid="{00000000-0005-0000-0000-000039050000}"/>
    <cellStyle name="SAPBEXHLevel1X_gxaccion, 68" xfId="1326" xr:uid="{00000000-0005-0000-0000-00003A050000}"/>
    <cellStyle name="SAPBEXHLevel2" xfId="1327" xr:uid="{00000000-0005-0000-0000-00003B050000}"/>
    <cellStyle name="SAPBEXHLevel2 10" xfId="1328" xr:uid="{00000000-0005-0000-0000-00003C050000}"/>
    <cellStyle name="SAPBEXHLevel2 11" xfId="1329" xr:uid="{00000000-0005-0000-0000-00003D050000}"/>
    <cellStyle name="SAPBEXHLevel2 2" xfId="1330" xr:uid="{00000000-0005-0000-0000-00003E050000}"/>
    <cellStyle name="SAPBEXHLevel2 2 2" xfId="1331" xr:uid="{00000000-0005-0000-0000-00003F050000}"/>
    <cellStyle name="SAPBEXHLevel2 2 2 2" xfId="1332" xr:uid="{00000000-0005-0000-0000-000040050000}"/>
    <cellStyle name="SAPBEXHLevel2 3" xfId="1333" xr:uid="{00000000-0005-0000-0000-000041050000}"/>
    <cellStyle name="SAPBEXHLevel2 4" xfId="1334" xr:uid="{00000000-0005-0000-0000-000042050000}"/>
    <cellStyle name="SAPBEXHLevel2 5" xfId="1335" xr:uid="{00000000-0005-0000-0000-000043050000}"/>
    <cellStyle name="SAPBEXHLevel2 6" xfId="1336" xr:uid="{00000000-0005-0000-0000-000044050000}"/>
    <cellStyle name="SAPBEXHLevel2 7" xfId="1337" xr:uid="{00000000-0005-0000-0000-000045050000}"/>
    <cellStyle name="SAPBEXHLevel2 8" xfId="1338" xr:uid="{00000000-0005-0000-0000-000046050000}"/>
    <cellStyle name="SAPBEXHLevel2 9" xfId="1339" xr:uid="{00000000-0005-0000-0000-000047050000}"/>
    <cellStyle name="SAPBEXHLevel2_gxaccion, 68" xfId="1340" xr:uid="{00000000-0005-0000-0000-000048050000}"/>
    <cellStyle name="SAPBEXHLevel2X" xfId="1341" xr:uid="{00000000-0005-0000-0000-000049050000}"/>
    <cellStyle name="SAPBEXHLevel2X 10" xfId="1342" xr:uid="{00000000-0005-0000-0000-00004A050000}"/>
    <cellStyle name="SAPBEXHLevel2X 11" xfId="1343" xr:uid="{00000000-0005-0000-0000-00004B050000}"/>
    <cellStyle name="SAPBEXHLevel2X 2" xfId="1344" xr:uid="{00000000-0005-0000-0000-00004C050000}"/>
    <cellStyle name="SAPBEXHLevel2X 2 2" xfId="1345" xr:uid="{00000000-0005-0000-0000-00004D050000}"/>
    <cellStyle name="SAPBEXHLevel2X 2 2 2" xfId="1346" xr:uid="{00000000-0005-0000-0000-00004E050000}"/>
    <cellStyle name="SAPBEXHLevel2X 3" xfId="1347" xr:uid="{00000000-0005-0000-0000-00004F050000}"/>
    <cellStyle name="SAPBEXHLevel2X 4" xfId="1348" xr:uid="{00000000-0005-0000-0000-000050050000}"/>
    <cellStyle name="SAPBEXHLevel2X 5" xfId="1349" xr:uid="{00000000-0005-0000-0000-000051050000}"/>
    <cellStyle name="SAPBEXHLevel2X 6" xfId="1350" xr:uid="{00000000-0005-0000-0000-000052050000}"/>
    <cellStyle name="SAPBEXHLevel2X 7" xfId="1351" xr:uid="{00000000-0005-0000-0000-000053050000}"/>
    <cellStyle name="SAPBEXHLevel2X 8" xfId="1352" xr:uid="{00000000-0005-0000-0000-000054050000}"/>
    <cellStyle name="SAPBEXHLevel2X 9" xfId="1353" xr:uid="{00000000-0005-0000-0000-000055050000}"/>
    <cellStyle name="SAPBEXHLevel2X_gxaccion, 68" xfId="1354" xr:uid="{00000000-0005-0000-0000-000056050000}"/>
    <cellStyle name="SAPBEXHLevel3" xfId="1355" xr:uid="{00000000-0005-0000-0000-000057050000}"/>
    <cellStyle name="SAPBEXHLevel3 10" xfId="1356" xr:uid="{00000000-0005-0000-0000-000058050000}"/>
    <cellStyle name="SAPBEXHLevel3 11" xfId="1357" xr:uid="{00000000-0005-0000-0000-000059050000}"/>
    <cellStyle name="SAPBEXHLevel3 2" xfId="1358" xr:uid="{00000000-0005-0000-0000-00005A050000}"/>
    <cellStyle name="SAPBEXHLevel3 2 2" xfId="1359" xr:uid="{00000000-0005-0000-0000-00005B050000}"/>
    <cellStyle name="SAPBEXHLevel3 2 2 2" xfId="1360" xr:uid="{00000000-0005-0000-0000-00005C050000}"/>
    <cellStyle name="SAPBEXHLevel3 3" xfId="1361" xr:uid="{00000000-0005-0000-0000-00005D050000}"/>
    <cellStyle name="SAPBEXHLevel3 4" xfId="1362" xr:uid="{00000000-0005-0000-0000-00005E050000}"/>
    <cellStyle name="SAPBEXHLevel3 5" xfId="1363" xr:uid="{00000000-0005-0000-0000-00005F050000}"/>
    <cellStyle name="SAPBEXHLevel3 6" xfId="1364" xr:uid="{00000000-0005-0000-0000-000060050000}"/>
    <cellStyle name="SAPBEXHLevel3 7" xfId="1365" xr:uid="{00000000-0005-0000-0000-000061050000}"/>
    <cellStyle name="SAPBEXHLevel3 8" xfId="1366" xr:uid="{00000000-0005-0000-0000-000062050000}"/>
    <cellStyle name="SAPBEXHLevel3 9" xfId="1367" xr:uid="{00000000-0005-0000-0000-000063050000}"/>
    <cellStyle name="SAPBEXHLevel3_gxaccion, 68" xfId="1368" xr:uid="{00000000-0005-0000-0000-000064050000}"/>
    <cellStyle name="SAPBEXHLevel3X" xfId="1369" xr:uid="{00000000-0005-0000-0000-000065050000}"/>
    <cellStyle name="SAPBEXHLevel3X 10" xfId="1370" xr:uid="{00000000-0005-0000-0000-000066050000}"/>
    <cellStyle name="SAPBEXHLevel3X 11" xfId="1371" xr:uid="{00000000-0005-0000-0000-000067050000}"/>
    <cellStyle name="SAPBEXHLevel3X 2" xfId="1372" xr:uid="{00000000-0005-0000-0000-000068050000}"/>
    <cellStyle name="SAPBEXHLevel3X 2 2" xfId="1373" xr:uid="{00000000-0005-0000-0000-000069050000}"/>
    <cellStyle name="SAPBEXHLevel3X 2 2 2" xfId="1374" xr:uid="{00000000-0005-0000-0000-00006A050000}"/>
    <cellStyle name="SAPBEXHLevel3X 3" xfId="1375" xr:uid="{00000000-0005-0000-0000-00006B050000}"/>
    <cellStyle name="SAPBEXHLevel3X 4" xfId="1376" xr:uid="{00000000-0005-0000-0000-00006C050000}"/>
    <cellStyle name="SAPBEXHLevel3X 5" xfId="1377" xr:uid="{00000000-0005-0000-0000-00006D050000}"/>
    <cellStyle name="SAPBEXHLevel3X 6" xfId="1378" xr:uid="{00000000-0005-0000-0000-00006E050000}"/>
    <cellStyle name="SAPBEXHLevel3X 7" xfId="1379" xr:uid="{00000000-0005-0000-0000-00006F050000}"/>
    <cellStyle name="SAPBEXHLevel3X 8" xfId="1380" xr:uid="{00000000-0005-0000-0000-000070050000}"/>
    <cellStyle name="SAPBEXHLevel3X 9" xfId="1381" xr:uid="{00000000-0005-0000-0000-000071050000}"/>
    <cellStyle name="SAPBEXHLevel3X_gxaccion, 68" xfId="1382" xr:uid="{00000000-0005-0000-0000-000072050000}"/>
    <cellStyle name="SAPBEXinputData" xfId="1383" xr:uid="{00000000-0005-0000-0000-000073050000}"/>
    <cellStyle name="SAPBEXinputData 10" xfId="1384" xr:uid="{00000000-0005-0000-0000-000074050000}"/>
    <cellStyle name="SAPBEXinputData 11" xfId="1385" xr:uid="{00000000-0005-0000-0000-000075050000}"/>
    <cellStyle name="SAPBEXinputData 2" xfId="1386" xr:uid="{00000000-0005-0000-0000-000076050000}"/>
    <cellStyle name="SAPBEXinputData 2 2" xfId="1387" xr:uid="{00000000-0005-0000-0000-000077050000}"/>
    <cellStyle name="SAPBEXinputData 2 2 2" xfId="1388" xr:uid="{00000000-0005-0000-0000-000078050000}"/>
    <cellStyle name="SAPBEXinputData 3" xfId="1389" xr:uid="{00000000-0005-0000-0000-000079050000}"/>
    <cellStyle name="SAPBEXinputData 4" xfId="1390" xr:uid="{00000000-0005-0000-0000-00007A050000}"/>
    <cellStyle name="SAPBEXinputData 5" xfId="1391" xr:uid="{00000000-0005-0000-0000-00007B050000}"/>
    <cellStyle name="SAPBEXinputData 6" xfId="1392" xr:uid="{00000000-0005-0000-0000-00007C050000}"/>
    <cellStyle name="SAPBEXinputData 7" xfId="1393" xr:uid="{00000000-0005-0000-0000-00007D050000}"/>
    <cellStyle name="SAPBEXinputData 8" xfId="1394" xr:uid="{00000000-0005-0000-0000-00007E050000}"/>
    <cellStyle name="SAPBEXinputData 9" xfId="1395" xr:uid="{00000000-0005-0000-0000-00007F050000}"/>
    <cellStyle name="SAPBEXinputData_gxaccion, 68" xfId="1396" xr:uid="{00000000-0005-0000-0000-000080050000}"/>
    <cellStyle name="SAPBEXItemHeader" xfId="1397" xr:uid="{00000000-0005-0000-0000-000081050000}"/>
    <cellStyle name="SAPBEXresData" xfId="1398" xr:uid="{00000000-0005-0000-0000-000082050000}"/>
    <cellStyle name="SAPBEXresData 10" xfId="1399" xr:uid="{00000000-0005-0000-0000-000083050000}"/>
    <cellStyle name="SAPBEXresData 11" xfId="1400" xr:uid="{00000000-0005-0000-0000-000084050000}"/>
    <cellStyle name="SAPBEXresData 2" xfId="1401" xr:uid="{00000000-0005-0000-0000-000085050000}"/>
    <cellStyle name="SAPBEXresData 2 2" xfId="1402" xr:uid="{00000000-0005-0000-0000-000086050000}"/>
    <cellStyle name="SAPBEXresData 2 2 2" xfId="1403" xr:uid="{00000000-0005-0000-0000-000087050000}"/>
    <cellStyle name="SAPBEXresData 3" xfId="1404" xr:uid="{00000000-0005-0000-0000-000088050000}"/>
    <cellStyle name="SAPBEXresData 4" xfId="1405" xr:uid="{00000000-0005-0000-0000-000089050000}"/>
    <cellStyle name="SAPBEXresData 5" xfId="1406" xr:uid="{00000000-0005-0000-0000-00008A050000}"/>
    <cellStyle name="SAPBEXresData 6" xfId="1407" xr:uid="{00000000-0005-0000-0000-00008B050000}"/>
    <cellStyle name="SAPBEXresData 7" xfId="1408" xr:uid="{00000000-0005-0000-0000-00008C050000}"/>
    <cellStyle name="SAPBEXresData 8" xfId="1409" xr:uid="{00000000-0005-0000-0000-00008D050000}"/>
    <cellStyle name="SAPBEXresData 9" xfId="1410" xr:uid="{00000000-0005-0000-0000-00008E050000}"/>
    <cellStyle name="SAPBEXresData_valor justo.junio2010" xfId="1411" xr:uid="{00000000-0005-0000-0000-00008F050000}"/>
    <cellStyle name="SAPBEXresDataEmph" xfId="1412" xr:uid="{00000000-0005-0000-0000-000090050000}"/>
    <cellStyle name="SAPBEXresDataEmph 10" xfId="1413" xr:uid="{00000000-0005-0000-0000-000091050000}"/>
    <cellStyle name="SAPBEXresDataEmph 11" xfId="1414" xr:uid="{00000000-0005-0000-0000-000092050000}"/>
    <cellStyle name="SAPBEXresDataEmph 2" xfId="1415" xr:uid="{00000000-0005-0000-0000-000093050000}"/>
    <cellStyle name="SAPBEXresDataEmph 2 2" xfId="1416" xr:uid="{00000000-0005-0000-0000-000094050000}"/>
    <cellStyle name="SAPBEXresDataEmph 2 2 2" xfId="1417" xr:uid="{00000000-0005-0000-0000-000095050000}"/>
    <cellStyle name="SAPBEXresDataEmph 3" xfId="1418" xr:uid="{00000000-0005-0000-0000-000096050000}"/>
    <cellStyle name="SAPBEXresDataEmph 4" xfId="1419" xr:uid="{00000000-0005-0000-0000-000097050000}"/>
    <cellStyle name="SAPBEXresDataEmph 5" xfId="1420" xr:uid="{00000000-0005-0000-0000-000098050000}"/>
    <cellStyle name="SAPBEXresDataEmph 6" xfId="1421" xr:uid="{00000000-0005-0000-0000-000099050000}"/>
    <cellStyle name="SAPBEXresDataEmph 7" xfId="1422" xr:uid="{00000000-0005-0000-0000-00009A050000}"/>
    <cellStyle name="SAPBEXresDataEmph 8" xfId="1423" xr:uid="{00000000-0005-0000-0000-00009B050000}"/>
    <cellStyle name="SAPBEXresDataEmph 9" xfId="1424" xr:uid="{00000000-0005-0000-0000-00009C050000}"/>
    <cellStyle name="SAPBEXresDataEmph_valor justo.junio2010" xfId="1425" xr:uid="{00000000-0005-0000-0000-00009D050000}"/>
    <cellStyle name="SAPBEXresItem" xfId="1426" xr:uid="{00000000-0005-0000-0000-00009E050000}"/>
    <cellStyle name="SAPBEXresItem 10" xfId="1427" xr:uid="{00000000-0005-0000-0000-00009F050000}"/>
    <cellStyle name="SAPBEXresItem 11" xfId="1428" xr:uid="{00000000-0005-0000-0000-0000A0050000}"/>
    <cellStyle name="SAPBEXresItem 2" xfId="1429" xr:uid="{00000000-0005-0000-0000-0000A1050000}"/>
    <cellStyle name="SAPBEXresItem 2 2" xfId="1430" xr:uid="{00000000-0005-0000-0000-0000A2050000}"/>
    <cellStyle name="SAPBEXresItem 2 2 2" xfId="1431" xr:uid="{00000000-0005-0000-0000-0000A3050000}"/>
    <cellStyle name="SAPBEXresItem 3" xfId="1432" xr:uid="{00000000-0005-0000-0000-0000A4050000}"/>
    <cellStyle name="SAPBEXresItem 4" xfId="1433" xr:uid="{00000000-0005-0000-0000-0000A5050000}"/>
    <cellStyle name="SAPBEXresItem 5" xfId="1434" xr:uid="{00000000-0005-0000-0000-0000A6050000}"/>
    <cellStyle name="SAPBEXresItem 6" xfId="1435" xr:uid="{00000000-0005-0000-0000-0000A7050000}"/>
    <cellStyle name="SAPBEXresItem 7" xfId="1436" xr:uid="{00000000-0005-0000-0000-0000A8050000}"/>
    <cellStyle name="SAPBEXresItem 8" xfId="1437" xr:uid="{00000000-0005-0000-0000-0000A9050000}"/>
    <cellStyle name="SAPBEXresItem 9" xfId="1438" xr:uid="{00000000-0005-0000-0000-0000AA050000}"/>
    <cellStyle name="SAPBEXresItem_valor justo.junio2010" xfId="1439" xr:uid="{00000000-0005-0000-0000-0000AB050000}"/>
    <cellStyle name="SAPBEXresItemX" xfId="1440" xr:uid="{00000000-0005-0000-0000-0000AC050000}"/>
    <cellStyle name="SAPBEXresItemX 10" xfId="1441" xr:uid="{00000000-0005-0000-0000-0000AD050000}"/>
    <cellStyle name="SAPBEXresItemX 11" xfId="1442" xr:uid="{00000000-0005-0000-0000-0000AE050000}"/>
    <cellStyle name="SAPBEXresItemX 2" xfId="1443" xr:uid="{00000000-0005-0000-0000-0000AF050000}"/>
    <cellStyle name="SAPBEXresItemX 2 2" xfId="1444" xr:uid="{00000000-0005-0000-0000-0000B0050000}"/>
    <cellStyle name="SAPBEXresItemX 2 2 2" xfId="1445" xr:uid="{00000000-0005-0000-0000-0000B1050000}"/>
    <cellStyle name="SAPBEXresItemX 3" xfId="1446" xr:uid="{00000000-0005-0000-0000-0000B2050000}"/>
    <cellStyle name="SAPBEXresItemX 4" xfId="1447" xr:uid="{00000000-0005-0000-0000-0000B3050000}"/>
    <cellStyle name="SAPBEXresItemX 5" xfId="1448" xr:uid="{00000000-0005-0000-0000-0000B4050000}"/>
    <cellStyle name="SAPBEXresItemX 6" xfId="1449" xr:uid="{00000000-0005-0000-0000-0000B5050000}"/>
    <cellStyle name="SAPBEXresItemX 7" xfId="1450" xr:uid="{00000000-0005-0000-0000-0000B6050000}"/>
    <cellStyle name="SAPBEXresItemX 8" xfId="1451" xr:uid="{00000000-0005-0000-0000-0000B7050000}"/>
    <cellStyle name="SAPBEXresItemX 9" xfId="1452" xr:uid="{00000000-0005-0000-0000-0000B8050000}"/>
    <cellStyle name="SAPBEXresItemX_valor justo.junio2010" xfId="1453" xr:uid="{00000000-0005-0000-0000-0000B9050000}"/>
    <cellStyle name="SAPBEXstdData" xfId="1454" xr:uid="{00000000-0005-0000-0000-0000BA050000}"/>
    <cellStyle name="SAPBEXstdData 10" xfId="1455" xr:uid="{00000000-0005-0000-0000-0000BB050000}"/>
    <cellStyle name="SAPBEXstdData 11" xfId="1456" xr:uid="{00000000-0005-0000-0000-0000BC050000}"/>
    <cellStyle name="SAPBEXstdData 2" xfId="1457" xr:uid="{00000000-0005-0000-0000-0000BD050000}"/>
    <cellStyle name="SAPBEXstdData 2 2" xfId="1458" xr:uid="{00000000-0005-0000-0000-0000BE050000}"/>
    <cellStyle name="SAPBEXstdData 2 2 2" xfId="1459" xr:uid="{00000000-0005-0000-0000-0000BF050000}"/>
    <cellStyle name="SAPBEXstdData 3" xfId="1460" xr:uid="{00000000-0005-0000-0000-0000C0050000}"/>
    <cellStyle name="SAPBEXstdData 4" xfId="1461" xr:uid="{00000000-0005-0000-0000-0000C1050000}"/>
    <cellStyle name="SAPBEXstdData 5" xfId="1462" xr:uid="{00000000-0005-0000-0000-0000C2050000}"/>
    <cellStyle name="SAPBEXstdData 6" xfId="1463" xr:uid="{00000000-0005-0000-0000-0000C3050000}"/>
    <cellStyle name="SAPBEXstdData 7" xfId="1464" xr:uid="{00000000-0005-0000-0000-0000C4050000}"/>
    <cellStyle name="SAPBEXstdData 8" xfId="1465" xr:uid="{00000000-0005-0000-0000-0000C5050000}"/>
    <cellStyle name="SAPBEXstdData 9" xfId="1466" xr:uid="{00000000-0005-0000-0000-0000C6050000}"/>
    <cellStyle name="SAPBEXstdData_gxaccion, 68" xfId="1467" xr:uid="{00000000-0005-0000-0000-0000C7050000}"/>
    <cellStyle name="SAPBEXstdDataEmph" xfId="1468" xr:uid="{00000000-0005-0000-0000-0000C8050000}"/>
    <cellStyle name="SAPBEXstdDataEmph 10" xfId="1469" xr:uid="{00000000-0005-0000-0000-0000C9050000}"/>
    <cellStyle name="SAPBEXstdDataEmph 11" xfId="1470" xr:uid="{00000000-0005-0000-0000-0000CA050000}"/>
    <cellStyle name="SAPBEXstdDataEmph 2" xfId="1471" xr:uid="{00000000-0005-0000-0000-0000CB050000}"/>
    <cellStyle name="SAPBEXstdDataEmph 2 2" xfId="1472" xr:uid="{00000000-0005-0000-0000-0000CC050000}"/>
    <cellStyle name="SAPBEXstdDataEmph 2 2 2" xfId="1473" xr:uid="{00000000-0005-0000-0000-0000CD050000}"/>
    <cellStyle name="SAPBEXstdDataEmph 3" xfId="1474" xr:uid="{00000000-0005-0000-0000-0000CE050000}"/>
    <cellStyle name="SAPBEXstdDataEmph 4" xfId="1475" xr:uid="{00000000-0005-0000-0000-0000CF050000}"/>
    <cellStyle name="SAPBEXstdDataEmph 5" xfId="1476" xr:uid="{00000000-0005-0000-0000-0000D0050000}"/>
    <cellStyle name="SAPBEXstdDataEmph 6" xfId="1477" xr:uid="{00000000-0005-0000-0000-0000D1050000}"/>
    <cellStyle name="SAPBEXstdDataEmph 7" xfId="1478" xr:uid="{00000000-0005-0000-0000-0000D2050000}"/>
    <cellStyle name="SAPBEXstdDataEmph 8" xfId="1479" xr:uid="{00000000-0005-0000-0000-0000D3050000}"/>
    <cellStyle name="SAPBEXstdDataEmph 9" xfId="1480" xr:uid="{00000000-0005-0000-0000-0000D4050000}"/>
    <cellStyle name="SAPBEXstdDataEmph_valor justo.junio2010" xfId="1481" xr:uid="{00000000-0005-0000-0000-0000D5050000}"/>
    <cellStyle name="SAPBEXstdItem" xfId="1482" xr:uid="{00000000-0005-0000-0000-0000D6050000}"/>
    <cellStyle name="SAPBEXstdItem 10" xfId="1483" xr:uid="{00000000-0005-0000-0000-0000D7050000}"/>
    <cellStyle name="SAPBEXstdItem 11" xfId="1484" xr:uid="{00000000-0005-0000-0000-0000D8050000}"/>
    <cellStyle name="SAPBEXstdItem 2" xfId="1485" xr:uid="{00000000-0005-0000-0000-0000D9050000}"/>
    <cellStyle name="SAPBEXstdItem 2 2" xfId="1486" xr:uid="{00000000-0005-0000-0000-0000DA050000}"/>
    <cellStyle name="SAPBEXstdItem 2 2 2" xfId="1487" xr:uid="{00000000-0005-0000-0000-0000DB050000}"/>
    <cellStyle name="SAPBEXstdItem 3" xfId="1488" xr:uid="{00000000-0005-0000-0000-0000DC050000}"/>
    <cellStyle name="SAPBEXstdItem 4" xfId="1489" xr:uid="{00000000-0005-0000-0000-0000DD050000}"/>
    <cellStyle name="SAPBEXstdItem 5" xfId="1490" xr:uid="{00000000-0005-0000-0000-0000DE050000}"/>
    <cellStyle name="SAPBEXstdItem 6" xfId="1491" xr:uid="{00000000-0005-0000-0000-0000DF050000}"/>
    <cellStyle name="SAPBEXstdItem 7" xfId="1492" xr:uid="{00000000-0005-0000-0000-0000E0050000}"/>
    <cellStyle name="SAPBEXstdItem 8" xfId="1493" xr:uid="{00000000-0005-0000-0000-0000E1050000}"/>
    <cellStyle name="SAPBEXstdItem 9" xfId="1494" xr:uid="{00000000-0005-0000-0000-0000E2050000}"/>
    <cellStyle name="SAPBEXstdItem_gxaccion, 68" xfId="1495" xr:uid="{00000000-0005-0000-0000-0000E3050000}"/>
    <cellStyle name="SAPBEXstdItemX" xfId="1496" xr:uid="{00000000-0005-0000-0000-0000E4050000}"/>
    <cellStyle name="SAPBEXstdItemX 10" xfId="1497" xr:uid="{00000000-0005-0000-0000-0000E5050000}"/>
    <cellStyle name="SAPBEXstdItemX 11" xfId="1498" xr:uid="{00000000-0005-0000-0000-0000E6050000}"/>
    <cellStyle name="SAPBEXstdItemX 2" xfId="1499" xr:uid="{00000000-0005-0000-0000-0000E7050000}"/>
    <cellStyle name="SAPBEXstdItemX 2 2" xfId="1500" xr:uid="{00000000-0005-0000-0000-0000E8050000}"/>
    <cellStyle name="SAPBEXstdItemX 2 2 2" xfId="1501" xr:uid="{00000000-0005-0000-0000-0000E9050000}"/>
    <cellStyle name="SAPBEXstdItemX 3" xfId="1502" xr:uid="{00000000-0005-0000-0000-0000EA050000}"/>
    <cellStyle name="SAPBEXstdItemX 4" xfId="1503" xr:uid="{00000000-0005-0000-0000-0000EB050000}"/>
    <cellStyle name="SAPBEXstdItemX 5" xfId="1504" xr:uid="{00000000-0005-0000-0000-0000EC050000}"/>
    <cellStyle name="SAPBEXstdItemX 6" xfId="1505" xr:uid="{00000000-0005-0000-0000-0000ED050000}"/>
    <cellStyle name="SAPBEXstdItemX 7" xfId="1506" xr:uid="{00000000-0005-0000-0000-0000EE050000}"/>
    <cellStyle name="SAPBEXstdItemX 8" xfId="1507" xr:uid="{00000000-0005-0000-0000-0000EF050000}"/>
    <cellStyle name="SAPBEXstdItemX 9" xfId="1508" xr:uid="{00000000-0005-0000-0000-0000F0050000}"/>
    <cellStyle name="SAPBEXstdItemX_valor justo.junio2010" xfId="1509" xr:uid="{00000000-0005-0000-0000-0000F1050000}"/>
    <cellStyle name="SAPBEXtitle" xfId="1510" xr:uid="{00000000-0005-0000-0000-0000F2050000}"/>
    <cellStyle name="SAPBEXtitle 10" xfId="1511" xr:uid="{00000000-0005-0000-0000-0000F3050000}"/>
    <cellStyle name="SAPBEXtitle 11" xfId="1512" xr:uid="{00000000-0005-0000-0000-0000F4050000}"/>
    <cellStyle name="SAPBEXtitle 2" xfId="1513" xr:uid="{00000000-0005-0000-0000-0000F5050000}"/>
    <cellStyle name="SAPBEXtitle 2 2" xfId="1514" xr:uid="{00000000-0005-0000-0000-0000F6050000}"/>
    <cellStyle name="SAPBEXtitle 2 2 2" xfId="1515" xr:uid="{00000000-0005-0000-0000-0000F7050000}"/>
    <cellStyle name="SAPBEXtitle 3" xfId="1516" xr:uid="{00000000-0005-0000-0000-0000F8050000}"/>
    <cellStyle name="SAPBEXtitle 4" xfId="1517" xr:uid="{00000000-0005-0000-0000-0000F9050000}"/>
    <cellStyle name="SAPBEXtitle 5" xfId="1518" xr:uid="{00000000-0005-0000-0000-0000FA050000}"/>
    <cellStyle name="SAPBEXtitle 6" xfId="1519" xr:uid="{00000000-0005-0000-0000-0000FB050000}"/>
    <cellStyle name="SAPBEXtitle 7" xfId="1520" xr:uid="{00000000-0005-0000-0000-0000FC050000}"/>
    <cellStyle name="SAPBEXtitle 8" xfId="1521" xr:uid="{00000000-0005-0000-0000-0000FD050000}"/>
    <cellStyle name="SAPBEXtitle 9" xfId="1522" xr:uid="{00000000-0005-0000-0000-0000FE050000}"/>
    <cellStyle name="SAPBEXunassignedItem" xfId="1523" xr:uid="{00000000-0005-0000-0000-0000FF050000}"/>
    <cellStyle name="SAPBEXunassignedItem 2" xfId="1524" xr:uid="{00000000-0005-0000-0000-000000060000}"/>
    <cellStyle name="SAPBEXunassignedItem 3" xfId="1525" xr:uid="{00000000-0005-0000-0000-000001060000}"/>
    <cellStyle name="SAPBEXunassignedItem 4" xfId="1526" xr:uid="{00000000-0005-0000-0000-000002060000}"/>
    <cellStyle name="SAPBEXunassignedItem 5" xfId="1527" xr:uid="{00000000-0005-0000-0000-000003060000}"/>
    <cellStyle name="SAPBEXundefined" xfId="1528" xr:uid="{00000000-0005-0000-0000-000004060000}"/>
    <cellStyle name="SAPBEXundefined 10" xfId="1529" xr:uid="{00000000-0005-0000-0000-000005060000}"/>
    <cellStyle name="SAPBEXundefined 11" xfId="1530" xr:uid="{00000000-0005-0000-0000-000006060000}"/>
    <cellStyle name="SAPBEXundefined 2" xfId="1531" xr:uid="{00000000-0005-0000-0000-000007060000}"/>
    <cellStyle name="SAPBEXundefined 2 2" xfId="1532" xr:uid="{00000000-0005-0000-0000-000008060000}"/>
    <cellStyle name="SAPBEXundefined 2 2 2" xfId="1533" xr:uid="{00000000-0005-0000-0000-000009060000}"/>
    <cellStyle name="SAPBEXundefined 3" xfId="1534" xr:uid="{00000000-0005-0000-0000-00000A060000}"/>
    <cellStyle name="SAPBEXundefined 4" xfId="1535" xr:uid="{00000000-0005-0000-0000-00000B060000}"/>
    <cellStyle name="SAPBEXundefined 5" xfId="1536" xr:uid="{00000000-0005-0000-0000-00000C060000}"/>
    <cellStyle name="SAPBEXundefined 6" xfId="1537" xr:uid="{00000000-0005-0000-0000-00000D060000}"/>
    <cellStyle name="SAPBEXundefined 7" xfId="1538" xr:uid="{00000000-0005-0000-0000-00000E060000}"/>
    <cellStyle name="SAPBEXundefined 8" xfId="1539" xr:uid="{00000000-0005-0000-0000-00000F060000}"/>
    <cellStyle name="SAPBEXundefined 9" xfId="1540" xr:uid="{00000000-0005-0000-0000-000010060000}"/>
    <cellStyle name="SAPBEXundefined_valor justo.junio2010" xfId="1541" xr:uid="{00000000-0005-0000-0000-000011060000}"/>
    <cellStyle name="Sheet Title" xfId="1542" xr:uid="{00000000-0005-0000-0000-000012060000}"/>
    <cellStyle name="Suma" xfId="1543" xr:uid="{00000000-0005-0000-0000-000013060000}"/>
    <cellStyle name="Tekst obja?nienia" xfId="1544" xr:uid="{00000000-0005-0000-0000-000014060000}"/>
    <cellStyle name="Tekst objaśnienia" xfId="1545" xr:uid="{00000000-0005-0000-0000-000015060000}"/>
    <cellStyle name="Tekst ostrze?enia" xfId="1546" xr:uid="{00000000-0005-0000-0000-000016060000}"/>
    <cellStyle name="Tekst ostrzeżenia" xfId="1547" xr:uid="{00000000-0005-0000-0000-000017060000}"/>
    <cellStyle name="Texto de advertencia" xfId="1548" builtinId="11" customBuiltin="1"/>
    <cellStyle name="Texto de advertencia 2" xfId="1549" xr:uid="{00000000-0005-0000-0000-000019060000}"/>
    <cellStyle name="Texto de advertencia 2 2" xfId="1550" xr:uid="{00000000-0005-0000-0000-00001A060000}"/>
    <cellStyle name="Texto de advertencia 2 3" xfId="1551" xr:uid="{00000000-0005-0000-0000-00001B060000}"/>
    <cellStyle name="Texto de advertencia 2 4" xfId="1552" xr:uid="{00000000-0005-0000-0000-00001C060000}"/>
    <cellStyle name="Texto de advertencia 2 5" xfId="1553" xr:uid="{00000000-0005-0000-0000-00001D060000}"/>
    <cellStyle name="Texto de advertencia 2 6" xfId="1554" xr:uid="{00000000-0005-0000-0000-00001E060000}"/>
    <cellStyle name="Texto de advertencia 3" xfId="1555" xr:uid="{00000000-0005-0000-0000-00001F060000}"/>
    <cellStyle name="Texto de advertencia 3 2" xfId="1556" xr:uid="{00000000-0005-0000-0000-000020060000}"/>
    <cellStyle name="Texto de advertencia 3 3" xfId="1557" xr:uid="{00000000-0005-0000-0000-000021060000}"/>
    <cellStyle name="Texto de advertencia 3 4" xfId="1558" xr:uid="{00000000-0005-0000-0000-000022060000}"/>
    <cellStyle name="Texto de advertencia 3 5" xfId="1559" xr:uid="{00000000-0005-0000-0000-000023060000}"/>
    <cellStyle name="Texto de advertencia 4" xfId="1560" xr:uid="{00000000-0005-0000-0000-000024060000}"/>
    <cellStyle name="Texto de advertencia 4 2" xfId="1561" xr:uid="{00000000-0005-0000-0000-000025060000}"/>
    <cellStyle name="Texto de advertencia 4 3" xfId="1562" xr:uid="{00000000-0005-0000-0000-000026060000}"/>
    <cellStyle name="Texto de advertencia 4 4" xfId="1563" xr:uid="{00000000-0005-0000-0000-000027060000}"/>
    <cellStyle name="Texto de advertencia 4 5" xfId="1564" xr:uid="{00000000-0005-0000-0000-000028060000}"/>
    <cellStyle name="Texto de advertencia 5" xfId="1565" xr:uid="{00000000-0005-0000-0000-000029060000}"/>
    <cellStyle name="Texto de advertencia 5 2" xfId="1566" xr:uid="{00000000-0005-0000-0000-00002A060000}"/>
    <cellStyle name="Texto de advertencia 5 3" xfId="1567" xr:uid="{00000000-0005-0000-0000-00002B060000}"/>
    <cellStyle name="Texto de advertencia 5 4" xfId="1568" xr:uid="{00000000-0005-0000-0000-00002C060000}"/>
    <cellStyle name="Texto de advertencia 5 5" xfId="1569" xr:uid="{00000000-0005-0000-0000-00002D060000}"/>
    <cellStyle name="Texto de advertencia 6" xfId="1570" xr:uid="{00000000-0005-0000-0000-00002E060000}"/>
    <cellStyle name="Texto de advertencia 6 2" xfId="1571" xr:uid="{00000000-0005-0000-0000-00002F060000}"/>
    <cellStyle name="Texto de advertencia 7" xfId="1572" xr:uid="{00000000-0005-0000-0000-000030060000}"/>
    <cellStyle name="Texto de advertencia 8" xfId="1573" xr:uid="{00000000-0005-0000-0000-000031060000}"/>
    <cellStyle name="Texto de advertencia 9" xfId="1574" xr:uid="{00000000-0005-0000-0000-000032060000}"/>
    <cellStyle name="Texto explicativo" xfId="1575" builtinId="53" customBuiltin="1"/>
    <cellStyle name="Texto explicativo 2 2" xfId="1576" xr:uid="{00000000-0005-0000-0000-000034060000}"/>
    <cellStyle name="Title" xfId="1577" xr:uid="{00000000-0005-0000-0000-000035060000}"/>
    <cellStyle name="Título" xfId="1578" builtinId="15" customBuiltin="1"/>
    <cellStyle name="Título 1 2" xfId="1580" xr:uid="{00000000-0005-0000-0000-000037060000}"/>
    <cellStyle name="Título 1 2 2" xfId="1581" xr:uid="{00000000-0005-0000-0000-000038060000}"/>
    <cellStyle name="Título 1 2 3" xfId="1582" xr:uid="{00000000-0005-0000-0000-000039060000}"/>
    <cellStyle name="Título 1 2 4" xfId="1583" xr:uid="{00000000-0005-0000-0000-00003A060000}"/>
    <cellStyle name="Título 1 2 5" xfId="1584" xr:uid="{00000000-0005-0000-0000-00003B060000}"/>
    <cellStyle name="Título 1 2 6" xfId="1585" xr:uid="{00000000-0005-0000-0000-00003C060000}"/>
    <cellStyle name="Título 1 3" xfId="1586" xr:uid="{00000000-0005-0000-0000-00003D060000}"/>
    <cellStyle name="Título 1 3 2" xfId="1587" xr:uid="{00000000-0005-0000-0000-00003E060000}"/>
    <cellStyle name="Título 1 3 3" xfId="1588" xr:uid="{00000000-0005-0000-0000-00003F060000}"/>
    <cellStyle name="Título 1 3 4" xfId="1589" xr:uid="{00000000-0005-0000-0000-000040060000}"/>
    <cellStyle name="Título 1 3 5" xfId="1590" xr:uid="{00000000-0005-0000-0000-000041060000}"/>
    <cellStyle name="Título 1 4" xfId="1591" xr:uid="{00000000-0005-0000-0000-000042060000}"/>
    <cellStyle name="Título 1 4 2" xfId="1592" xr:uid="{00000000-0005-0000-0000-000043060000}"/>
    <cellStyle name="Título 1 4 3" xfId="1593" xr:uid="{00000000-0005-0000-0000-000044060000}"/>
    <cellStyle name="Título 1 4 4" xfId="1594" xr:uid="{00000000-0005-0000-0000-000045060000}"/>
    <cellStyle name="Título 1 4 5" xfId="1595" xr:uid="{00000000-0005-0000-0000-000046060000}"/>
    <cellStyle name="Título 1 5" xfId="1596" xr:uid="{00000000-0005-0000-0000-000047060000}"/>
    <cellStyle name="Título 1 5 2" xfId="1597" xr:uid="{00000000-0005-0000-0000-000048060000}"/>
    <cellStyle name="Título 1 5 3" xfId="1598" xr:uid="{00000000-0005-0000-0000-000049060000}"/>
    <cellStyle name="Título 1 5 4" xfId="1599" xr:uid="{00000000-0005-0000-0000-00004A060000}"/>
    <cellStyle name="Título 1 5 5" xfId="1600" xr:uid="{00000000-0005-0000-0000-00004B060000}"/>
    <cellStyle name="Título 1 6" xfId="1601" xr:uid="{00000000-0005-0000-0000-00004C060000}"/>
    <cellStyle name="Título 1 7" xfId="1602" xr:uid="{00000000-0005-0000-0000-00004D060000}"/>
    <cellStyle name="Título 1 8" xfId="1603" xr:uid="{00000000-0005-0000-0000-00004E060000}"/>
    <cellStyle name="Título 1 9" xfId="1604" xr:uid="{00000000-0005-0000-0000-00004F060000}"/>
    <cellStyle name="Título 2" xfId="1605" builtinId="17" customBuiltin="1"/>
    <cellStyle name="Título 2 2" xfId="1606" xr:uid="{00000000-0005-0000-0000-000051060000}"/>
    <cellStyle name="Título 2 2 2" xfId="1607" xr:uid="{00000000-0005-0000-0000-000052060000}"/>
    <cellStyle name="Título 2 2 3" xfId="1608" xr:uid="{00000000-0005-0000-0000-000053060000}"/>
    <cellStyle name="Título 2 2 4" xfId="1609" xr:uid="{00000000-0005-0000-0000-000054060000}"/>
    <cellStyle name="Título 2 2 5" xfId="1610" xr:uid="{00000000-0005-0000-0000-000055060000}"/>
    <cellStyle name="Título 2 2 6" xfId="1611" xr:uid="{00000000-0005-0000-0000-000056060000}"/>
    <cellStyle name="Título 2 3" xfId="1612" xr:uid="{00000000-0005-0000-0000-000057060000}"/>
    <cellStyle name="Título 2 3 2" xfId="1613" xr:uid="{00000000-0005-0000-0000-000058060000}"/>
    <cellStyle name="Título 2 3 3" xfId="1614" xr:uid="{00000000-0005-0000-0000-000059060000}"/>
    <cellStyle name="Título 2 3 4" xfId="1615" xr:uid="{00000000-0005-0000-0000-00005A060000}"/>
    <cellStyle name="Título 2 3 5" xfId="1616" xr:uid="{00000000-0005-0000-0000-00005B060000}"/>
    <cellStyle name="Título 2 4" xfId="1617" xr:uid="{00000000-0005-0000-0000-00005C060000}"/>
    <cellStyle name="Título 2 4 2" xfId="1618" xr:uid="{00000000-0005-0000-0000-00005D060000}"/>
    <cellStyle name="Título 2 4 3" xfId="1619" xr:uid="{00000000-0005-0000-0000-00005E060000}"/>
    <cellStyle name="Título 2 4 4" xfId="1620" xr:uid="{00000000-0005-0000-0000-00005F060000}"/>
    <cellStyle name="Título 2 4 5" xfId="1621" xr:uid="{00000000-0005-0000-0000-000060060000}"/>
    <cellStyle name="Título 2 5" xfId="1622" xr:uid="{00000000-0005-0000-0000-000061060000}"/>
    <cellStyle name="Título 2 5 2" xfId="1623" xr:uid="{00000000-0005-0000-0000-000062060000}"/>
    <cellStyle name="Título 2 5 3" xfId="1624" xr:uid="{00000000-0005-0000-0000-000063060000}"/>
    <cellStyle name="Título 2 5 4" xfId="1625" xr:uid="{00000000-0005-0000-0000-000064060000}"/>
    <cellStyle name="Título 2 5 5" xfId="1626" xr:uid="{00000000-0005-0000-0000-000065060000}"/>
    <cellStyle name="Título 2 6" xfId="1627" xr:uid="{00000000-0005-0000-0000-000066060000}"/>
    <cellStyle name="Título 2 6 2" xfId="1628" xr:uid="{00000000-0005-0000-0000-000067060000}"/>
    <cellStyle name="Título 2 7" xfId="1629" xr:uid="{00000000-0005-0000-0000-000068060000}"/>
    <cellStyle name="Título 2 8" xfId="1630" xr:uid="{00000000-0005-0000-0000-000069060000}"/>
    <cellStyle name="Título 2 9" xfId="1631" xr:uid="{00000000-0005-0000-0000-00006A060000}"/>
    <cellStyle name="Título 3" xfId="1632" builtinId="18" customBuiltin="1"/>
    <cellStyle name="Título 3 2" xfId="1633" xr:uid="{00000000-0005-0000-0000-00006C060000}"/>
    <cellStyle name="Título 3 2 2" xfId="1634" xr:uid="{00000000-0005-0000-0000-00006D060000}"/>
    <cellStyle name="Título 3 2 3" xfId="1635" xr:uid="{00000000-0005-0000-0000-00006E060000}"/>
    <cellStyle name="Título 3 2 4" xfId="1636" xr:uid="{00000000-0005-0000-0000-00006F060000}"/>
    <cellStyle name="Título 3 2 5" xfId="1637" xr:uid="{00000000-0005-0000-0000-000070060000}"/>
    <cellStyle name="Título 3 2 6" xfId="1638" xr:uid="{00000000-0005-0000-0000-000071060000}"/>
    <cellStyle name="Título 3 3" xfId="1639" xr:uid="{00000000-0005-0000-0000-000072060000}"/>
    <cellStyle name="Título 3 3 2" xfId="1640" xr:uid="{00000000-0005-0000-0000-000073060000}"/>
    <cellStyle name="Título 3 3 3" xfId="1641" xr:uid="{00000000-0005-0000-0000-000074060000}"/>
    <cellStyle name="Título 3 3 4" xfId="1642" xr:uid="{00000000-0005-0000-0000-000075060000}"/>
    <cellStyle name="Título 3 3 5" xfId="1643" xr:uid="{00000000-0005-0000-0000-000076060000}"/>
    <cellStyle name="Título 3 4" xfId="1644" xr:uid="{00000000-0005-0000-0000-000077060000}"/>
    <cellStyle name="Título 3 4 2" xfId="1645" xr:uid="{00000000-0005-0000-0000-000078060000}"/>
    <cellStyle name="Título 3 4 3" xfId="1646" xr:uid="{00000000-0005-0000-0000-000079060000}"/>
    <cellStyle name="Título 3 4 4" xfId="1647" xr:uid="{00000000-0005-0000-0000-00007A060000}"/>
    <cellStyle name="Título 3 4 5" xfId="1648" xr:uid="{00000000-0005-0000-0000-00007B060000}"/>
    <cellStyle name="Título 3 5" xfId="1649" xr:uid="{00000000-0005-0000-0000-00007C060000}"/>
    <cellStyle name="Título 3 5 2" xfId="1650" xr:uid="{00000000-0005-0000-0000-00007D060000}"/>
    <cellStyle name="Título 3 5 3" xfId="1651" xr:uid="{00000000-0005-0000-0000-00007E060000}"/>
    <cellStyle name="Título 3 5 4" xfId="1652" xr:uid="{00000000-0005-0000-0000-00007F060000}"/>
    <cellStyle name="Título 3 5 5" xfId="1653" xr:uid="{00000000-0005-0000-0000-000080060000}"/>
    <cellStyle name="Título 3 6" xfId="1654" xr:uid="{00000000-0005-0000-0000-000081060000}"/>
    <cellStyle name="Título 3 6 2" xfId="1655" xr:uid="{00000000-0005-0000-0000-000082060000}"/>
    <cellStyle name="Título 3 7" xfId="1656" xr:uid="{00000000-0005-0000-0000-000083060000}"/>
    <cellStyle name="Título 3 8" xfId="1657" xr:uid="{00000000-0005-0000-0000-000084060000}"/>
    <cellStyle name="Título 3 9" xfId="1658" xr:uid="{00000000-0005-0000-0000-000085060000}"/>
    <cellStyle name="Total" xfId="1659" builtinId="25" customBuiltin="1"/>
    <cellStyle name="Total 2" xfId="1660" xr:uid="{00000000-0005-0000-0000-000087060000}"/>
    <cellStyle name="Total 2 2" xfId="1661" xr:uid="{00000000-0005-0000-0000-000088060000}"/>
    <cellStyle name="Total 2 3" xfId="1662" xr:uid="{00000000-0005-0000-0000-000089060000}"/>
    <cellStyle name="Total 2 4" xfId="1663" xr:uid="{00000000-0005-0000-0000-00008A060000}"/>
    <cellStyle name="Total 2 5" xfId="1664" xr:uid="{00000000-0005-0000-0000-00008B060000}"/>
    <cellStyle name="Total 2 6" xfId="1665" xr:uid="{00000000-0005-0000-0000-00008C060000}"/>
    <cellStyle name="Total 3" xfId="1666" xr:uid="{00000000-0005-0000-0000-00008D060000}"/>
    <cellStyle name="Total 3 2" xfId="1667" xr:uid="{00000000-0005-0000-0000-00008E060000}"/>
    <cellStyle name="Total 3 3" xfId="1668" xr:uid="{00000000-0005-0000-0000-00008F060000}"/>
    <cellStyle name="Total 3 4" xfId="1669" xr:uid="{00000000-0005-0000-0000-000090060000}"/>
    <cellStyle name="Total 3 5" xfId="1670" xr:uid="{00000000-0005-0000-0000-000091060000}"/>
    <cellStyle name="Total 4" xfId="1671" xr:uid="{00000000-0005-0000-0000-000092060000}"/>
    <cellStyle name="Total 4 2" xfId="1672" xr:uid="{00000000-0005-0000-0000-000093060000}"/>
    <cellStyle name="Total 4 3" xfId="1673" xr:uid="{00000000-0005-0000-0000-000094060000}"/>
    <cellStyle name="Total 4 4" xfId="1674" xr:uid="{00000000-0005-0000-0000-000095060000}"/>
    <cellStyle name="Total 4 5" xfId="1675" xr:uid="{00000000-0005-0000-0000-000096060000}"/>
    <cellStyle name="Total 5" xfId="1676" xr:uid="{00000000-0005-0000-0000-000097060000}"/>
    <cellStyle name="Total 5 2" xfId="1677" xr:uid="{00000000-0005-0000-0000-000098060000}"/>
    <cellStyle name="Total 5 3" xfId="1678" xr:uid="{00000000-0005-0000-0000-000099060000}"/>
    <cellStyle name="Total 5 4" xfId="1679" xr:uid="{00000000-0005-0000-0000-00009A060000}"/>
    <cellStyle name="Total 5 5" xfId="1680" xr:uid="{00000000-0005-0000-0000-00009B060000}"/>
    <cellStyle name="Total 6" xfId="1681" xr:uid="{00000000-0005-0000-0000-00009C060000}"/>
    <cellStyle name="Total 7" xfId="1682" xr:uid="{00000000-0005-0000-0000-00009D060000}"/>
    <cellStyle name="Total 8" xfId="1683" xr:uid="{00000000-0005-0000-0000-00009E060000}"/>
    <cellStyle name="Total 9" xfId="1684" xr:uid="{00000000-0005-0000-0000-00009F060000}"/>
    <cellStyle name="Tytu?" xfId="1685" xr:uid="{00000000-0005-0000-0000-0000A0060000}"/>
    <cellStyle name="Tytuł" xfId="1686" xr:uid="{00000000-0005-0000-0000-0000A1060000}"/>
    <cellStyle name="Uwaga" xfId="1687" xr:uid="{00000000-0005-0000-0000-0000A2060000}"/>
    <cellStyle name="Warning Text" xfId="1688" xr:uid="{00000000-0005-0000-0000-0000A3060000}"/>
    <cellStyle name="Warning Text 2" xfId="1689" xr:uid="{00000000-0005-0000-0000-0000A4060000}"/>
    <cellStyle name="Warning Text 3" xfId="1690" xr:uid="{00000000-0005-0000-0000-0000A5060000}"/>
    <cellStyle name="Warning Text 4" xfId="1691" xr:uid="{00000000-0005-0000-0000-0000A6060000}"/>
    <cellStyle name="Warning Text 5" xfId="1692" xr:uid="{00000000-0005-0000-0000-0000A7060000}"/>
    <cellStyle name="Z?e" xfId="1693" xr:uid="{00000000-0005-0000-0000-0000A8060000}"/>
    <cellStyle name="Złe" xfId="1694" xr:uid="{00000000-0005-0000-0000-0000A9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BC-4F4B-9F76-0F3714A6BF6B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BC-4F4B-9F76-0F3714A6BF6B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EBC-4F4B-9F76-0F3714A6BF6B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EBC-4F4B-9F76-0F3714A6BF6B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'Deuda Financiera'!$H$13:$H$14</c:f>
              <c:numCache>
                <c:formatCode>#,##0</c:formatCode>
                <c:ptCount val="2"/>
                <c:pt idx="0">
                  <c:v>1188924166</c:v>
                </c:pt>
                <c:pt idx="1">
                  <c:v>137673838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BC-4F4B-9F76-0F3714A6B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226E-4AEB-8816-0E9D41644456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226E-4AEB-8816-0E9D41644456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26E-4AEB-8816-0E9D4164445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26E-4AEB-8816-0E9D4164445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26E-4AEB-8816-0E9D41644456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6E-4AEB-8816-0E9D41644456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26E-4AEB-8816-0E9D41644456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6E-4AEB-8816-0E9D41644456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6E-4AEB-8816-0E9D41644456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'Deuda Financiera'!$C$13:$C$16</c:f>
              <c:numCache>
                <c:formatCode>0.000000%</c:formatCode>
                <c:ptCount val="4"/>
                <c:pt idx="0">
                  <c:v>0.125</c:v>
                </c:pt>
                <c:pt idx="1">
                  <c:v>0.745</c:v>
                </c:pt>
                <c:pt idx="2">
                  <c:v>0.127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EB-8816-0E9D4164445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95251</xdr:colOff>
      <xdr:row>18</xdr:row>
      <xdr:rowOff>9524</xdr:rowOff>
    </xdr:from>
    <xdr:to>
      <xdr:col>11</xdr:col>
      <xdr:colOff>1343025</xdr:colOff>
      <xdr:row>40</xdr:row>
      <xdr:rowOff>180975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18</xdr:row>
      <xdr:rowOff>54426</xdr:rowOff>
    </xdr:from>
    <xdr:to>
      <xdr:col>6</xdr:col>
      <xdr:colOff>690789</xdr:colOff>
      <xdr:row>40</xdr:row>
      <xdr:rowOff>190499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45356</xdr:colOff>
      <xdr:row>2</xdr:row>
      <xdr:rowOff>154215</xdr:rowOff>
    </xdr:from>
    <xdr:to>
      <xdr:col>7</xdr:col>
      <xdr:colOff>190214</xdr:colOff>
      <xdr:row>26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985" y="480786"/>
          <a:ext cx="2528829" cy="3764643"/>
        </a:xfrm>
        <a:prstGeom prst="rect">
          <a:avLst/>
        </a:prstGeom>
      </xdr:spPr>
    </xdr:pic>
    <xdr:clientData/>
  </xdr:twoCellAnchor>
  <xdr:twoCellAnchor editAs="oneCell">
    <xdr:from>
      <xdr:col>0</xdr:col>
      <xdr:colOff>696686</xdr:colOff>
      <xdr:row>3</xdr:row>
      <xdr:rowOff>108857</xdr:rowOff>
    </xdr:from>
    <xdr:to>
      <xdr:col>3</xdr:col>
      <xdr:colOff>606534</xdr:colOff>
      <xdr:row>25</xdr:row>
      <xdr:rowOff>113523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FE6B2-EF7B-F748-53F6-F87CB96D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686" y="598714"/>
          <a:ext cx="2293819" cy="3596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-my.sharepoint.com/personal/pmonsalve_aguasandinas_cl/Documents/Consolidacion/2024/IV%20Trimestre/03%20An&#225;lisis%20Razonado/AA/Informaci&#243;n%20Analisis%20razonado%20AA_4T24.xlsx" TargetMode="External"/><Relationship Id="rId1" Type="http://schemas.openxmlformats.org/officeDocument/2006/relationships/externalLinkPath" Target="Informaci&#243;n%20Analisis%20razonado%20AA_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45657</v>
          </cell>
          <cell r="E2">
            <v>45291</v>
          </cell>
        </row>
        <row r="3">
          <cell r="B3"/>
          <cell r="C3"/>
          <cell r="D3" t="str">
            <v>M$</v>
          </cell>
          <cell r="E3" t="str">
            <v>M$</v>
          </cell>
        </row>
        <row r="4">
          <cell r="B4" t="str">
            <v>ACTIVOS CORRIENTES</v>
          </cell>
          <cell r="C4"/>
          <cell r="D4"/>
          <cell r="E4"/>
        </row>
        <row r="5">
          <cell r="B5" t="str">
            <v>Efectivo y equivalentes al efectivo</v>
          </cell>
          <cell r="C5">
            <v>4</v>
          </cell>
          <cell r="D5">
            <v>108758431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C7">
            <v>11</v>
          </cell>
          <cell r="D7">
            <v>3641630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132404464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73679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10476577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33347482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C12"/>
          <cell r="D12">
            <v>288702263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C14"/>
          <cell r="D14">
            <v>288702263</v>
          </cell>
          <cell r="E14">
            <v>275004410</v>
          </cell>
        </row>
        <row r="15">
          <cell r="B15" t="str">
            <v>ACTIVOS NO CORRIENTES</v>
          </cell>
          <cell r="C15"/>
          <cell r="D15"/>
          <cell r="E15"/>
        </row>
        <row r="16">
          <cell r="B16" t="str">
            <v>Otros activos financieros</v>
          </cell>
          <cell r="C16">
            <v>10</v>
          </cell>
          <cell r="D16">
            <v>15898043</v>
          </cell>
          <cell r="E16">
            <v>7895863</v>
          </cell>
        </row>
        <row r="17">
          <cell r="B17" t="str">
            <v>Otros activos no financieros</v>
          </cell>
          <cell r="C17">
            <v>11</v>
          </cell>
          <cell r="D17">
            <v>6656551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3440746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C19"/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12</v>
          </cell>
          <cell r="D20">
            <v>619303933</v>
          </cell>
          <cell r="E20">
            <v>231747713</v>
          </cell>
        </row>
        <row r="21">
          <cell r="B21" t="str">
            <v>Plusvalia</v>
          </cell>
          <cell r="C21">
            <v>13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14</v>
          </cell>
          <cell r="D22">
            <v>2044544144</v>
          </cell>
          <cell r="E22">
            <v>1805370932</v>
          </cell>
        </row>
        <row r="23">
          <cell r="B23" t="str">
            <v>Activos por derecho de uso</v>
          </cell>
          <cell r="C23">
            <v>15</v>
          </cell>
          <cell r="D23">
            <v>3707341</v>
          </cell>
          <cell r="E23">
            <v>4307072</v>
          </cell>
        </row>
        <row r="24">
          <cell r="B24" t="str">
            <v>Activos por impuestos diferidos</v>
          </cell>
          <cell r="C24">
            <v>16</v>
          </cell>
          <cell r="D24">
            <v>2083265</v>
          </cell>
          <cell r="E24">
            <v>59938069</v>
          </cell>
        </row>
        <row r="25">
          <cell r="B25" t="str">
            <v>Cuentas por cobrar a entidades relacionadas</v>
          </cell>
          <cell r="C25"/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C26"/>
          <cell r="D26">
            <v>2729457072</v>
          </cell>
          <cell r="E26">
            <v>2148343319</v>
          </cell>
        </row>
        <row r="27">
          <cell r="B27"/>
          <cell r="C27"/>
          <cell r="D27"/>
          <cell r="E27"/>
        </row>
        <row r="28">
          <cell r="B28" t="str">
            <v>TOTAL DE ACTIVOS</v>
          </cell>
          <cell r="C28"/>
          <cell r="D28">
            <v>3018159335</v>
          </cell>
          <cell r="E28">
            <v>2423347729</v>
          </cell>
        </row>
        <row r="29">
          <cell r="D29"/>
          <cell r="E29"/>
        </row>
        <row r="30">
          <cell r="D30">
            <v>0</v>
          </cell>
          <cell r="E30">
            <v>0</v>
          </cell>
        </row>
        <row r="35">
          <cell r="B35"/>
        </row>
      </sheetData>
      <sheetData sheetId="1">
        <row r="2">
          <cell r="B2" t="str">
            <v>PASIVOS</v>
          </cell>
          <cell r="C2" t="str">
            <v>Nota</v>
          </cell>
          <cell r="D2">
            <v>45657</v>
          </cell>
          <cell r="E2">
            <v>45291</v>
          </cell>
        </row>
        <row r="3">
          <cell r="B3"/>
          <cell r="C3"/>
          <cell r="D3" t="str">
            <v>M$</v>
          </cell>
          <cell r="E3" t="str">
            <v>M$</v>
          </cell>
        </row>
        <row r="4">
          <cell r="B4" t="str">
            <v>PASIVOS CORRIENTES</v>
          </cell>
          <cell r="C4"/>
          <cell r="D4"/>
          <cell r="E4"/>
        </row>
        <row r="5">
          <cell r="B5" t="str">
            <v xml:space="preserve">Otros pasivos financieros </v>
          </cell>
          <cell r="C5">
            <v>17</v>
          </cell>
          <cell r="D5">
            <v>116332739</v>
          </cell>
          <cell r="E5">
            <v>155416801</v>
          </cell>
        </row>
        <row r="6">
          <cell r="B6" t="str">
            <v>Pasivos por arrendamientos</v>
          </cell>
          <cell r="C6">
            <v>15</v>
          </cell>
          <cell r="D6">
            <v>1802206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18</v>
          </cell>
          <cell r="D7">
            <v>184642753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22293636</v>
          </cell>
          <cell r="E8">
            <v>1578553</v>
          </cell>
        </row>
        <row r="9">
          <cell r="B9" t="str">
            <v>Otras provisiones</v>
          </cell>
          <cell r="C9">
            <v>19</v>
          </cell>
          <cell r="D9">
            <v>1060276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538435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20</v>
          </cell>
          <cell r="D11">
            <v>7471420</v>
          </cell>
          <cell r="E11">
            <v>5955720</v>
          </cell>
        </row>
        <row r="12">
          <cell r="B12" t="str">
            <v>Otros pasivos no financieros</v>
          </cell>
          <cell r="C12">
            <v>21</v>
          </cell>
          <cell r="D12">
            <v>17372024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C13"/>
          <cell r="D13">
            <v>351513489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C14"/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C15"/>
          <cell r="D15">
            <v>351513489</v>
          </cell>
          <cell r="E15">
            <v>361668126</v>
          </cell>
        </row>
        <row r="16">
          <cell r="B16" t="str">
            <v>PASIVOS NO CORRIENTES</v>
          </cell>
          <cell r="C16"/>
          <cell r="D16"/>
          <cell r="E16"/>
        </row>
        <row r="17">
          <cell r="B17" t="str">
            <v>Otros pasivos financieros</v>
          </cell>
          <cell r="C17">
            <v>17</v>
          </cell>
          <cell r="D17">
            <v>1205884299</v>
          </cell>
          <cell r="E17">
            <v>1125060897</v>
          </cell>
        </row>
        <row r="18">
          <cell r="B18" t="str">
            <v>Pasivos por arrendamientos</v>
          </cell>
          <cell r="C18">
            <v>15</v>
          </cell>
          <cell r="D18">
            <v>2578760</v>
          </cell>
          <cell r="E18">
            <v>2762179</v>
          </cell>
        </row>
        <row r="19">
          <cell r="B19" t="str">
            <v>Otras cuentas por pagar</v>
          </cell>
          <cell r="C19">
            <v>18</v>
          </cell>
          <cell r="D19">
            <v>1362795</v>
          </cell>
          <cell r="E19">
            <v>1181870</v>
          </cell>
        </row>
        <row r="20">
          <cell r="B20" t="str">
            <v>Cuentas por pagar a entidades relacionadas</v>
          </cell>
          <cell r="C20"/>
          <cell r="D20">
            <v>0</v>
          </cell>
          <cell r="E20">
            <v>0</v>
          </cell>
        </row>
        <row r="21">
          <cell r="B21" t="str">
            <v>Otras provisiones</v>
          </cell>
          <cell r="C21">
            <v>19</v>
          </cell>
          <cell r="D21">
            <v>1908445</v>
          </cell>
          <cell r="E21">
            <v>1823379</v>
          </cell>
        </row>
        <row r="22">
          <cell r="B22" t="str">
            <v>Pasivo por impuestos diferidos</v>
          </cell>
          <cell r="C22">
            <v>16</v>
          </cell>
          <cell r="D22">
            <v>130710566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20</v>
          </cell>
          <cell r="D23">
            <v>24484390</v>
          </cell>
          <cell r="E23">
            <v>22322555</v>
          </cell>
        </row>
        <row r="24">
          <cell r="B24" t="str">
            <v>Otros pasivos no financieros</v>
          </cell>
          <cell r="C24">
            <v>21</v>
          </cell>
          <cell r="D24">
            <v>7601123</v>
          </cell>
          <cell r="E24">
            <v>7454645</v>
          </cell>
        </row>
        <row r="25">
          <cell r="B25" t="str">
            <v>TOTAL DE PASIVOS NO CORRIENTES</v>
          </cell>
          <cell r="C25"/>
          <cell r="D25">
            <v>1374530378</v>
          </cell>
          <cell r="E25">
            <v>1175540305</v>
          </cell>
        </row>
        <row r="26">
          <cell r="B26"/>
          <cell r="C26"/>
          <cell r="D26"/>
          <cell r="E26"/>
        </row>
        <row r="27">
          <cell r="B27" t="str">
            <v>TOTAL PASIVOS</v>
          </cell>
          <cell r="C27"/>
          <cell r="D27">
            <v>1726043868</v>
          </cell>
          <cell r="E27">
            <v>1537208431</v>
          </cell>
        </row>
        <row r="28">
          <cell r="B28" t="str">
            <v>PATRIMONIO</v>
          </cell>
          <cell r="C28"/>
          <cell r="D28"/>
          <cell r="E28"/>
        </row>
        <row r="29">
          <cell r="B29" t="str">
            <v>Capital Emitido</v>
          </cell>
          <cell r="C29">
            <v>22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22</v>
          </cell>
          <cell r="D30">
            <v>407021368</v>
          </cell>
          <cell r="E30">
            <v>411044222</v>
          </cell>
        </row>
        <row r="31">
          <cell r="B31" t="str">
            <v>Primas de emision</v>
          </cell>
          <cell r="C31">
            <v>22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22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22</v>
          </cell>
          <cell r="D33">
            <v>571379740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C34"/>
          <cell r="D34">
            <v>1292066950</v>
          </cell>
          <cell r="E34">
            <v>886107830</v>
          </cell>
        </row>
        <row r="35">
          <cell r="B35" t="str">
            <v>Participaciones no controladoras</v>
          </cell>
          <cell r="C35">
            <v>23</v>
          </cell>
          <cell r="D35">
            <v>48518</v>
          </cell>
          <cell r="E35">
            <v>31468</v>
          </cell>
        </row>
        <row r="36">
          <cell r="B36" t="str">
            <v xml:space="preserve">PATRIMONIO TOTAL </v>
          </cell>
          <cell r="C36"/>
          <cell r="D36">
            <v>1292115468</v>
          </cell>
          <cell r="E36">
            <v>886139298</v>
          </cell>
        </row>
        <row r="37">
          <cell r="B37"/>
          <cell r="C37"/>
          <cell r="D37"/>
          <cell r="E37"/>
        </row>
        <row r="38">
          <cell r="B38" t="str">
            <v>TOTAL DE PATRIMONIO Y PASIVOS</v>
          </cell>
          <cell r="C38"/>
          <cell r="D38">
            <v>3018159335</v>
          </cell>
          <cell r="E38">
            <v>2423347729</v>
          </cell>
        </row>
        <row r="39">
          <cell r="D39"/>
          <cell r="E39"/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  <cell r="C2" t="str">
            <v>Nota</v>
          </cell>
          <cell r="D2">
            <v>45657</v>
          </cell>
          <cell r="E2">
            <v>45291</v>
          </cell>
          <cell r="F2"/>
          <cell r="G2" t="str">
            <v>Var. Acum</v>
          </cell>
        </row>
        <row r="3">
          <cell r="B3"/>
          <cell r="C3"/>
          <cell r="D3" t="str">
            <v>M$</v>
          </cell>
          <cell r="E3" t="str">
            <v>M$</v>
          </cell>
          <cell r="F3"/>
          <cell r="G3"/>
        </row>
        <row r="4">
          <cell r="B4" t="str">
            <v>Ingresos de actividades ordinarias</v>
          </cell>
          <cell r="C4">
            <v>25</v>
          </cell>
          <cell r="D4">
            <v>662701294</v>
          </cell>
          <cell r="E4">
            <v>640855854</v>
          </cell>
          <cell r="F4"/>
          <cell r="G4">
            <v>21845440</v>
          </cell>
        </row>
        <row r="5">
          <cell r="B5" t="str">
            <v>Materias primas y consumibles utilizados</v>
          </cell>
          <cell r="C5"/>
          <cell r="D5">
            <v>-82122248</v>
          </cell>
          <cell r="E5">
            <v>-85361668</v>
          </cell>
          <cell r="F5"/>
          <cell r="G5">
            <v>3239420</v>
          </cell>
        </row>
        <row r="6">
          <cell r="B6" t="str">
            <v>Gastos por beneficios a los empleados</v>
          </cell>
          <cell r="C6">
            <v>20</v>
          </cell>
          <cell r="D6">
            <v>-83142518</v>
          </cell>
          <cell r="E6">
            <v>-76458923</v>
          </cell>
          <cell r="F6"/>
          <cell r="G6">
            <v>-6683595</v>
          </cell>
        </row>
        <row r="7">
          <cell r="B7" t="str">
            <v>Gasto por depreciación y amortización</v>
          </cell>
          <cell r="C7" t="str">
            <v>12-14-15</v>
          </cell>
          <cell r="D7">
            <v>-82220591</v>
          </cell>
          <cell r="E7">
            <v>-77689350</v>
          </cell>
          <cell r="F7"/>
          <cell r="G7">
            <v>-4531241</v>
          </cell>
        </row>
        <row r="8">
          <cell r="B8" t="str">
            <v>Pérdidas por deterioro de valor (reversiones de pérdidas por deterioro de valor) reconocidas en el resultado del periodo</v>
          </cell>
          <cell r="C8">
            <v>14</v>
          </cell>
          <cell r="D8">
            <v>-216645</v>
          </cell>
          <cell r="E8">
            <v>0</v>
          </cell>
          <cell r="F8"/>
          <cell r="G8">
            <v>-216645</v>
          </cell>
        </row>
        <row r="9">
          <cell r="B9" t="str">
            <v>Otros gastos, por naturaleza</v>
          </cell>
          <cell r="C9">
            <v>26</v>
          </cell>
          <cell r="D9">
            <v>-164836148</v>
          </cell>
          <cell r="E9">
            <v>-148430974</v>
          </cell>
          <cell r="F9"/>
          <cell r="G9">
            <v>-16405174</v>
          </cell>
        </row>
        <row r="10">
          <cell r="B10" t="str">
            <v>Otras ganancias (pérdidas)</v>
          </cell>
          <cell r="C10">
            <v>27</v>
          </cell>
          <cell r="D10">
            <v>526770</v>
          </cell>
          <cell r="E10">
            <v>3336545</v>
          </cell>
          <cell r="F10"/>
          <cell r="G10">
            <v>-2809775</v>
          </cell>
        </row>
        <row r="11">
          <cell r="B11" t="str">
            <v>Ganancias de actividades operacionales</v>
          </cell>
          <cell r="C11"/>
          <cell r="D11">
            <v>250689914</v>
          </cell>
          <cell r="E11">
            <v>256251484</v>
          </cell>
          <cell r="F11"/>
          <cell r="G11">
            <v>-5561570</v>
          </cell>
        </row>
        <row r="12">
          <cell r="B12" t="str">
            <v>Ingresos financieros</v>
          </cell>
          <cell r="C12">
            <v>27</v>
          </cell>
          <cell r="D12">
            <v>10052956</v>
          </cell>
          <cell r="E12">
            <v>15927907</v>
          </cell>
          <cell r="F12"/>
          <cell r="G12">
            <v>-5874951</v>
          </cell>
        </row>
        <row r="13">
          <cell r="B13" t="str">
            <v>Costos financieros</v>
          </cell>
          <cell r="C13">
            <v>27</v>
          </cell>
          <cell r="D13">
            <v>-49334397</v>
          </cell>
          <cell r="E13">
            <v>-48849432</v>
          </cell>
          <cell r="F13"/>
          <cell r="G13">
            <v>-484965</v>
          </cell>
        </row>
        <row r="14">
          <cell r="B14" t="str">
            <v>Ganancias por deterioro y reversos de pérdidas por deterioro (Pérdidas por deterioro) determinado de acuerdo con NIIF 9  sobre activos financieros</v>
          </cell>
          <cell r="C14">
            <v>24</v>
          </cell>
          <cell r="D14">
            <v>-7163962</v>
          </cell>
          <cell r="E14">
            <v>-12316346</v>
          </cell>
          <cell r="F14"/>
          <cell r="G14">
            <v>5152384</v>
          </cell>
        </row>
        <row r="15">
          <cell r="B15" t="str">
            <v>Ganancias (pérdidas) de cambio en moneda extranjera</v>
          </cell>
          <cell r="C15">
            <v>28</v>
          </cell>
          <cell r="D15">
            <v>349033</v>
          </cell>
          <cell r="E15">
            <v>2645936</v>
          </cell>
          <cell r="F15"/>
          <cell r="G15">
            <v>-2296903</v>
          </cell>
        </row>
        <row r="16">
          <cell r="B16" t="str">
            <v>Resultado por unidades reajustables</v>
          </cell>
          <cell r="C16">
            <v>29</v>
          </cell>
          <cell r="D16">
            <v>-45945172</v>
          </cell>
          <cell r="E16">
            <v>-46357996</v>
          </cell>
          <cell r="F16"/>
          <cell r="G16">
            <v>412824</v>
          </cell>
        </row>
        <row r="17">
          <cell r="B17" t="str">
            <v>Participación en las ganancias (pérdidas) de asociadas y negocion conjuntos</v>
          </cell>
          <cell r="C17"/>
          <cell r="D17">
            <v>0</v>
          </cell>
          <cell r="E17">
            <v>0</v>
          </cell>
          <cell r="F17"/>
          <cell r="G17">
            <v>0</v>
          </cell>
        </row>
        <row r="18">
          <cell r="B18" t="str">
            <v>Ganancia antes de impuestos</v>
          </cell>
          <cell r="C18"/>
          <cell r="D18">
            <v>158648372</v>
          </cell>
          <cell r="E18">
            <v>167301553</v>
          </cell>
          <cell r="F18"/>
          <cell r="G18">
            <v>-8653181</v>
          </cell>
        </row>
        <row r="19">
          <cell r="B19" t="str">
            <v>Gastos por impuestos a las ganancias</v>
          </cell>
          <cell r="C19">
            <v>16</v>
          </cell>
          <cell r="D19">
            <v>-34306718</v>
          </cell>
          <cell r="E19">
            <v>-33909237</v>
          </cell>
          <cell r="F19"/>
          <cell r="G19">
            <v>-397481</v>
          </cell>
        </row>
        <row r="20">
          <cell r="B20" t="str">
            <v>Ganancia procedente de operaciones continuadas</v>
          </cell>
          <cell r="C20"/>
          <cell r="D20">
            <v>124341654</v>
          </cell>
          <cell r="E20">
            <v>133392316</v>
          </cell>
          <cell r="F20"/>
          <cell r="G20">
            <v>-9050662</v>
          </cell>
        </row>
        <row r="21">
          <cell r="B21"/>
          <cell r="C21"/>
          <cell r="D21"/>
          <cell r="E21"/>
          <cell r="F21"/>
          <cell r="G21"/>
        </row>
        <row r="22">
          <cell r="B22"/>
          <cell r="C22"/>
          <cell r="D22"/>
          <cell r="E22"/>
          <cell r="F22"/>
          <cell r="G22"/>
        </row>
        <row r="23">
          <cell r="B23" t="str">
            <v>Ganancia</v>
          </cell>
          <cell r="C23"/>
          <cell r="D23">
            <v>124341654</v>
          </cell>
          <cell r="E23">
            <v>133392316</v>
          </cell>
          <cell r="F23"/>
          <cell r="G23">
            <v>-9050662</v>
          </cell>
        </row>
        <row r="24">
          <cell r="B24" t="str">
            <v>Ganancia atribuible a</v>
          </cell>
          <cell r="C24"/>
          <cell r="D24"/>
          <cell r="E24"/>
          <cell r="F24"/>
          <cell r="G24"/>
        </row>
        <row r="25">
          <cell r="B25" t="str">
            <v>Ganancia atribuible a los propietarios de la controladora</v>
          </cell>
          <cell r="C25"/>
          <cell r="D25">
            <v>124339646</v>
          </cell>
          <cell r="E25">
            <v>133390421</v>
          </cell>
          <cell r="F25"/>
          <cell r="G25">
            <v>-9050775</v>
          </cell>
        </row>
        <row r="26">
          <cell r="B26" t="str">
            <v>Ganancia, atribuible a participaciones no controladora</v>
          </cell>
          <cell r="C26">
            <v>23</v>
          </cell>
          <cell r="D26">
            <v>2008</v>
          </cell>
          <cell r="E26">
            <v>1895</v>
          </cell>
          <cell r="F26"/>
          <cell r="G26">
            <v>113</v>
          </cell>
        </row>
        <row r="27">
          <cell r="B27" t="str">
            <v xml:space="preserve">Ganancia </v>
          </cell>
          <cell r="C27"/>
          <cell r="D27">
            <v>124341654</v>
          </cell>
          <cell r="E27">
            <v>133392316</v>
          </cell>
          <cell r="F27"/>
          <cell r="G27">
            <v>-9050662</v>
          </cell>
        </row>
        <row r="28">
          <cell r="B28" t="str">
            <v xml:space="preserve">Ganancias por acción </v>
          </cell>
          <cell r="C28"/>
          <cell r="D28"/>
          <cell r="E28"/>
          <cell r="F28"/>
          <cell r="G28"/>
        </row>
        <row r="29">
          <cell r="B29" t="str">
            <v>Ganancias por acción básica en operaciones continuadas ($)</v>
          </cell>
          <cell r="C29">
            <v>31</v>
          </cell>
          <cell r="D29">
            <v>20.32</v>
          </cell>
          <cell r="E29">
            <v>21.8</v>
          </cell>
          <cell r="F29"/>
          <cell r="G29"/>
        </row>
        <row r="30">
          <cell r="B30" t="str">
            <v>Ganancias por acción básica ($)</v>
          </cell>
          <cell r="C30"/>
          <cell r="D30">
            <v>20.32</v>
          </cell>
          <cell r="E30">
            <v>21.8</v>
          </cell>
          <cell r="F30"/>
          <cell r="G30"/>
        </row>
        <row r="31">
          <cell r="B31"/>
          <cell r="C31"/>
          <cell r="D31"/>
          <cell r="E31"/>
          <cell r="F31"/>
          <cell r="G31"/>
        </row>
        <row r="32">
          <cell r="B32" t="str">
            <v>ESTADOS DE RESULTADOS INTEGRALES</v>
          </cell>
          <cell r="C32" t="str">
            <v>Nota</v>
          </cell>
          <cell r="D32">
            <v>45657</v>
          </cell>
          <cell r="E32">
            <v>45291</v>
          </cell>
          <cell r="F32"/>
          <cell r="G32"/>
        </row>
        <row r="33">
          <cell r="B33"/>
          <cell r="C33"/>
          <cell r="D33" t="str">
            <v>M$</v>
          </cell>
          <cell r="E33" t="str">
            <v>M$</v>
          </cell>
          <cell r="F33"/>
          <cell r="G33"/>
        </row>
        <row r="35">
          <cell r="B35" t="str">
            <v>Ganancia</v>
          </cell>
          <cell r="C35"/>
          <cell r="D35">
            <v>124341654</v>
          </cell>
          <cell r="E35">
            <v>133392316</v>
          </cell>
          <cell r="F35"/>
          <cell r="G35"/>
        </row>
        <row r="36">
          <cell r="B36" t="str">
            <v>OTRO RESULTADO INTEGRAL</v>
          </cell>
          <cell r="C36"/>
          <cell r="D36"/>
          <cell r="E36"/>
          <cell r="F36"/>
          <cell r="G36"/>
        </row>
        <row r="37">
          <cell r="B37" t="str">
            <v>Componentes de otro resultado integral que no se reclasificarán al resultado del período, antes de impuestos</v>
          </cell>
          <cell r="C37"/>
          <cell r="D37"/>
          <cell r="E37"/>
          <cell r="F37"/>
          <cell r="G37"/>
        </row>
        <row r="38">
          <cell r="B38" t="str">
            <v>Otro resultado integral, antes de impuestos, ganancias (pérdidas) por revaluación</v>
          </cell>
          <cell r="C38">
            <v>12</v>
          </cell>
          <cell r="D38">
            <v>560400993</v>
          </cell>
          <cell r="E38">
            <v>0</v>
          </cell>
          <cell r="F38">
            <v>15859</v>
          </cell>
          <cell r="G38"/>
        </row>
        <row r="39">
          <cell r="B39" t="str">
            <v>Otro resultado integral, antes de impuestos, ganancias (pérdidas) por nuevas mediciones de planes de beneficios definidos</v>
          </cell>
          <cell r="C39">
            <v>20</v>
          </cell>
          <cell r="D39">
            <v>-1745708</v>
          </cell>
          <cell r="E39">
            <v>-225558</v>
          </cell>
          <cell r="F39">
            <v>-19</v>
          </cell>
          <cell r="G39"/>
        </row>
        <row r="40">
          <cell r="B40" t="str">
            <v>Otro resultado integral que no se reclasificará al resultado del período, antes de impuestos</v>
          </cell>
          <cell r="C40"/>
          <cell r="D40">
            <v>558655285</v>
          </cell>
          <cell r="E40">
            <v>-225558</v>
          </cell>
          <cell r="F40"/>
          <cell r="G40"/>
        </row>
        <row r="41">
          <cell r="B41"/>
          <cell r="C41"/>
          <cell r="D41"/>
          <cell r="E41"/>
          <cell r="F41"/>
          <cell r="G41"/>
        </row>
        <row r="42">
          <cell r="B42" t="str">
            <v>Componentes de otro resultado integral que se reclasificarán al resultado del período, antes de impuestos</v>
          </cell>
          <cell r="C42"/>
          <cell r="D42"/>
          <cell r="E42"/>
          <cell r="F42"/>
          <cell r="G42"/>
        </row>
        <row r="43">
          <cell r="B43" t="str">
            <v xml:space="preserve">Coberturas de flujo de efectivo </v>
          </cell>
          <cell r="C43"/>
          <cell r="D43"/>
          <cell r="E43"/>
          <cell r="F43"/>
          <cell r="G43"/>
        </row>
        <row r="44">
          <cell r="B44" t="str">
            <v>Ganancias (pérdidas) por coberturas de flujos de efectivo</v>
          </cell>
          <cell r="C44"/>
          <cell r="D44">
            <v>1239874</v>
          </cell>
          <cell r="E44">
            <v>5833663</v>
          </cell>
          <cell r="F44">
            <v>0</v>
          </cell>
          <cell r="G44">
            <v>0</v>
          </cell>
        </row>
        <row r="45">
          <cell r="B45" t="str">
            <v>Total otro resultado integral que se reclasificará al resultado del periodo</v>
          </cell>
          <cell r="C45"/>
          <cell r="D45">
            <v>1239874</v>
          </cell>
          <cell r="E45">
            <v>5833663</v>
          </cell>
          <cell r="F45"/>
          <cell r="G45">
            <v>1</v>
          </cell>
        </row>
        <row r="46">
          <cell r="B46"/>
          <cell r="C46"/>
          <cell r="D46"/>
          <cell r="E46"/>
          <cell r="F46">
            <v>0</v>
          </cell>
          <cell r="G46">
            <v>0.73</v>
          </cell>
        </row>
        <row r="47">
          <cell r="B47" t="str">
            <v>Otros componentes de otro resultado integral, antes de impuestos</v>
          </cell>
          <cell r="C47"/>
          <cell r="D47">
            <v>559895159</v>
          </cell>
          <cell r="E47">
            <v>5608105</v>
          </cell>
          <cell r="F47">
            <v>0</v>
          </cell>
          <cell r="G47">
            <v>1</v>
          </cell>
        </row>
        <row r="48">
          <cell r="B48"/>
          <cell r="C48"/>
          <cell r="D48"/>
          <cell r="E48"/>
          <cell r="F48"/>
          <cell r="G48"/>
        </row>
        <row r="49">
          <cell r="B49" t="str">
            <v>Impuestos a las ganancias relativos a componentes de otro resultado integral que no se reclasificará al resultado del período</v>
          </cell>
          <cell r="C49"/>
          <cell r="D49"/>
          <cell r="E49"/>
          <cell r="F49"/>
          <cell r="G49"/>
        </row>
        <row r="50">
          <cell r="B50" t="str">
            <v xml:space="preserve">Impuesto a las ganancias relacionado con cambios en el superávit de revaluación de otro resultado integral </v>
          </cell>
          <cell r="C50"/>
          <cell r="D50">
            <v>-151308268</v>
          </cell>
          <cell r="E50">
            <v>0</v>
          </cell>
          <cell r="F50"/>
          <cell r="G50"/>
        </row>
        <row r="51">
          <cell r="B51" t="str">
            <v>Impuesto a las ganancias relativo a nuevas mediciones de planes de beneficios definidos de otro resultado integral</v>
          </cell>
          <cell r="C51"/>
          <cell r="D51">
            <v>471341</v>
          </cell>
          <cell r="E51">
            <v>60901</v>
          </cell>
          <cell r="F51"/>
          <cell r="G51"/>
        </row>
        <row r="52">
          <cell r="B52" t="str">
            <v>Total Impuestos a las ganancias relativos a componentes de otro resultado integral que no se reclasificará al resultado del período</v>
          </cell>
          <cell r="C52"/>
          <cell r="D52">
            <v>-150836927</v>
          </cell>
          <cell r="E52">
            <v>60901</v>
          </cell>
          <cell r="F52"/>
          <cell r="G52"/>
        </row>
        <row r="53">
          <cell r="B53"/>
          <cell r="C53"/>
          <cell r="D53"/>
          <cell r="E53"/>
          <cell r="F53"/>
          <cell r="G53"/>
        </row>
        <row r="54">
          <cell r="B54" t="str">
            <v>Impuestos a las ganancias relativos a componentes de otro resultado integral que no se reclasificará al resultado del período</v>
          </cell>
          <cell r="C54"/>
          <cell r="D54"/>
          <cell r="E54"/>
          <cell r="F54"/>
          <cell r="G54"/>
        </row>
        <row r="55">
          <cell r="B55" t="str">
            <v>Impuestos Ganancias (pérdidas) por coberturas de flujos de efectivo</v>
          </cell>
          <cell r="C55"/>
          <cell r="D55">
            <v>-334766</v>
          </cell>
          <cell r="E55">
            <v>-1575089</v>
          </cell>
          <cell r="F55"/>
          <cell r="G55"/>
        </row>
        <row r="56">
          <cell r="B56" t="str">
            <v>Total Impuestos a las ganancias relativos a componentes de otro resultado integral que se reclasificará al resultado del período</v>
          </cell>
          <cell r="C56"/>
          <cell r="D56">
            <v>-334766</v>
          </cell>
          <cell r="E56">
            <v>-1575089</v>
          </cell>
          <cell r="F56"/>
          <cell r="G56"/>
        </row>
        <row r="57">
          <cell r="B57"/>
          <cell r="C57"/>
          <cell r="D57"/>
          <cell r="E57"/>
          <cell r="F57"/>
          <cell r="G57"/>
        </row>
        <row r="58">
          <cell r="B58" t="str">
            <v xml:space="preserve">Total otro resultado integral </v>
          </cell>
          <cell r="C58"/>
          <cell r="D58">
            <v>408723466</v>
          </cell>
          <cell r="E58">
            <v>4093917</v>
          </cell>
          <cell r="F58">
            <v>408723466</v>
          </cell>
          <cell r="G58">
            <v>0</v>
          </cell>
        </row>
        <row r="59">
          <cell r="B59"/>
          <cell r="C59"/>
          <cell r="D59"/>
          <cell r="E59"/>
          <cell r="F59"/>
          <cell r="G59"/>
        </row>
        <row r="60">
          <cell r="B60" t="str">
            <v>TOTAL RESULTADO INTEGRAL</v>
          </cell>
          <cell r="C60"/>
          <cell r="D60">
            <v>533065120</v>
          </cell>
          <cell r="E60">
            <v>137486233</v>
          </cell>
          <cell r="F60"/>
          <cell r="G60"/>
        </row>
        <row r="61">
          <cell r="B61" t="str">
            <v>Resultado integral atribuible a:</v>
          </cell>
          <cell r="C61"/>
          <cell r="D61"/>
          <cell r="E61"/>
          <cell r="F61"/>
          <cell r="G61"/>
        </row>
        <row r="62">
          <cell r="B62" t="str">
            <v>Resultado integral atribuible a los propietarios de la controladora</v>
          </cell>
          <cell r="C62"/>
          <cell r="D62">
            <v>533047272</v>
          </cell>
          <cell r="E62">
            <v>137484343</v>
          </cell>
          <cell r="F62"/>
          <cell r="G62"/>
        </row>
        <row r="63">
          <cell r="B63" t="str">
            <v>Resultado integral atribuible a participaciones no controladoras</v>
          </cell>
          <cell r="C63"/>
          <cell r="D63">
            <v>17848</v>
          </cell>
          <cell r="E63">
            <v>1890</v>
          </cell>
          <cell r="F63"/>
          <cell r="G63"/>
        </row>
        <row r="64">
          <cell r="B64" t="str">
            <v>Resultado integral total</v>
          </cell>
          <cell r="C64"/>
          <cell r="D64">
            <v>533065120</v>
          </cell>
          <cell r="E64">
            <v>137486233</v>
          </cell>
          <cell r="F64"/>
          <cell r="G64"/>
        </row>
        <row r="66">
          <cell r="D66">
            <v>0</v>
          </cell>
          <cell r="E66">
            <v>0</v>
          </cell>
        </row>
      </sheetData>
      <sheetData sheetId="3"/>
      <sheetData sheetId="4">
        <row r="3">
          <cell r="B3" t="str">
            <v>Estado de Flujo de efectivo directo</v>
          </cell>
          <cell r="C3" t="str">
            <v>Nota</v>
          </cell>
          <cell r="D3">
            <v>45657</v>
          </cell>
          <cell r="E3">
            <v>45291</v>
          </cell>
        </row>
        <row r="4">
          <cell r="B4"/>
          <cell r="C4"/>
          <cell r="D4" t="str">
            <v>M$</v>
          </cell>
          <cell r="E4" t="str">
            <v>M$</v>
          </cell>
        </row>
        <row r="5">
          <cell r="B5" t="str">
            <v>Cobros procedentes de las ventas de bienes y prestación de servicios</v>
          </cell>
          <cell r="C5"/>
          <cell r="D5">
            <v>776472144</v>
          </cell>
          <cell r="E5">
            <v>735405398</v>
          </cell>
        </row>
        <row r="6">
          <cell r="B6" t="str">
            <v>Cobros procedentes de regalías, cuotas, comisiones y otros ingresos de actividades ordinarias</v>
          </cell>
          <cell r="C6"/>
          <cell r="D6"/>
          <cell r="E6">
            <v>0</v>
          </cell>
        </row>
        <row r="7">
          <cell r="B7" t="str">
            <v>Cobros procedentes de contratos mantenidos con propósitos de intermediación o para negociar</v>
          </cell>
          <cell r="C7"/>
          <cell r="D7"/>
          <cell r="E7">
            <v>0</v>
          </cell>
        </row>
        <row r="8">
          <cell r="B8" t="str">
            <v>Cobros procedentes de primas y prestaciones, anualidades y otros beneficios de pólizas suscritas</v>
          </cell>
          <cell r="C8"/>
          <cell r="D8"/>
          <cell r="E8">
            <v>0</v>
          </cell>
        </row>
        <row r="9">
          <cell r="B9" t="str">
            <v>Otros cobros por actividades de operación</v>
          </cell>
          <cell r="C9"/>
          <cell r="D9">
            <v>5223545</v>
          </cell>
          <cell r="E9">
            <v>4052259</v>
          </cell>
        </row>
        <row r="10">
          <cell r="B10" t="str">
            <v xml:space="preserve">Clases de cobros por actividades de operación </v>
          </cell>
          <cell r="C10"/>
          <cell r="D10">
            <v>781695689</v>
          </cell>
          <cell r="E10">
            <v>739457657</v>
          </cell>
        </row>
        <row r="11">
          <cell r="B11" t="str">
            <v>Pagos a proveedores por el suministro de bienes y servicios</v>
          </cell>
          <cell r="C11"/>
          <cell r="D11">
            <v>-284511445</v>
          </cell>
          <cell r="E11">
            <v>-269440205.602</v>
          </cell>
        </row>
        <row r="12">
          <cell r="B12" t="str">
            <v>Pagos procedentes de contratos mantenidos para intermediación o para negociar</v>
          </cell>
          <cell r="C12"/>
          <cell r="D12">
            <v>0</v>
          </cell>
          <cell r="E12">
            <v>0</v>
          </cell>
        </row>
        <row r="13">
          <cell r="B13" t="str">
            <v>Pagos a y por cuenta de los empleados</v>
          </cell>
          <cell r="C13"/>
          <cell r="D13">
            <v>-77459935</v>
          </cell>
          <cell r="E13">
            <v>-80236579</v>
          </cell>
        </row>
        <row r="14">
          <cell r="B14" t="str">
            <v>Pagos por primas y prestaciones, anualidades y otras obligaciones derivadas de las pólizas suscritas</v>
          </cell>
          <cell r="C14"/>
          <cell r="D14"/>
          <cell r="E14"/>
        </row>
        <row r="15">
          <cell r="B15" t="str">
            <v>Otros pagos por actividades de operación</v>
          </cell>
          <cell r="C15"/>
          <cell r="D15">
            <v>-57752659</v>
          </cell>
          <cell r="E15">
            <v>-54501599.357000001</v>
          </cell>
        </row>
        <row r="16">
          <cell r="B16" t="str">
            <v>Clases de pagos en efectivo procedentes de actividades de operación</v>
          </cell>
          <cell r="C16"/>
          <cell r="D16">
            <v>-419724039</v>
          </cell>
          <cell r="E16">
            <v>-404178383.95899999</v>
          </cell>
        </row>
        <row r="17">
          <cell r="B17" t="str">
            <v>Dividendos pagados</v>
          </cell>
          <cell r="C17"/>
          <cell r="D17">
            <v>0</v>
          </cell>
          <cell r="E17"/>
        </row>
        <row r="18">
          <cell r="B18" t="str">
            <v>Dividendos recibidos</v>
          </cell>
          <cell r="C18"/>
          <cell r="D18">
            <v>0</v>
          </cell>
          <cell r="E18"/>
        </row>
        <row r="19">
          <cell r="B19" t="str">
            <v>Intereses pagados</v>
          </cell>
          <cell r="C19"/>
          <cell r="D19">
            <v>-46004011</v>
          </cell>
          <cell r="E19">
            <v>-48001819</v>
          </cell>
        </row>
        <row r="20">
          <cell r="B20" t="str">
            <v>Intereses recibidos</v>
          </cell>
          <cell r="C20"/>
          <cell r="D20">
            <v>6317397</v>
          </cell>
          <cell r="E20">
            <v>16092060</v>
          </cell>
        </row>
        <row r="21">
          <cell r="B21" t="str">
            <v xml:space="preserve">Impuestos a las ganancias (pagados) </v>
          </cell>
          <cell r="C21"/>
          <cell r="D21">
            <v>-29866913</v>
          </cell>
          <cell r="E21">
            <v>-53505003</v>
          </cell>
        </row>
        <row r="22">
          <cell r="B22" t="str">
            <v>Otras entradas (salidas) de efectivo</v>
          </cell>
          <cell r="C22"/>
          <cell r="D22">
            <v>-10214352</v>
          </cell>
          <cell r="E22">
            <v>-15670363.040999999</v>
          </cell>
        </row>
        <row r="23">
          <cell r="B23" t="str">
            <v>Flujos de efectivo procedentes de (utilizados en) actividades de operación</v>
          </cell>
          <cell r="C23"/>
          <cell r="D23">
            <v>282203771</v>
          </cell>
          <cell r="E23">
            <v>234194148</v>
          </cell>
        </row>
        <row r="24">
          <cell r="B24" t="str">
            <v>Flujos de efectivo procedentes de la pérdida de control de subsidiarias u otros negocios</v>
          </cell>
          <cell r="C24"/>
          <cell r="D24">
            <v>0</v>
          </cell>
          <cell r="E24"/>
        </row>
        <row r="25">
          <cell r="B25" t="str">
            <v>Flujos de efectivo utilizados para obtener el control de subsidiarias u otros negocios</v>
          </cell>
          <cell r="C25"/>
          <cell r="D25">
            <v>0</v>
          </cell>
          <cell r="E25"/>
        </row>
        <row r="26">
          <cell r="B26" t="str">
            <v>Flujos de efectivo utilizados en la compra de participaciones no controladoras</v>
          </cell>
          <cell r="C26"/>
          <cell r="D26">
            <v>0</v>
          </cell>
          <cell r="E26"/>
        </row>
        <row r="27">
          <cell r="B27" t="str">
            <v>Otros cobros por la venta de patrimonio o instrumentos de deuda de otras entidades</v>
          </cell>
          <cell r="C27"/>
          <cell r="D27">
            <v>0</v>
          </cell>
          <cell r="E27"/>
        </row>
        <row r="28">
          <cell r="B28" t="str">
            <v>Otros pagos para adquirir patrimonio o instrumentos de deuda de otras entidades</v>
          </cell>
          <cell r="C28"/>
          <cell r="D28">
            <v>0</v>
          </cell>
          <cell r="E28"/>
        </row>
        <row r="29">
          <cell r="B29" t="str">
            <v>Otros cobros por la venta de participaciones en negocios conjuntos</v>
          </cell>
          <cell r="C29"/>
          <cell r="D29">
            <v>0</v>
          </cell>
          <cell r="E29"/>
        </row>
        <row r="30">
          <cell r="B30" t="str">
            <v>Otros pagos para adquirir participaciones en negocios conjuntos</v>
          </cell>
          <cell r="C30"/>
          <cell r="D30">
            <v>0</v>
          </cell>
          <cell r="E30"/>
        </row>
        <row r="31">
          <cell r="B31" t="str">
            <v>Préstamos a entidades relacionadas</v>
          </cell>
          <cell r="C31"/>
          <cell r="D31">
            <v>0</v>
          </cell>
          <cell r="E31"/>
        </row>
        <row r="32">
          <cell r="B32" t="str">
            <v>Importes procedentes de ventas de propiedades, planta y equipo</v>
          </cell>
          <cell r="C32"/>
          <cell r="D32">
            <v>5205883</v>
          </cell>
          <cell r="E32">
            <v>5001192</v>
          </cell>
        </row>
        <row r="33">
          <cell r="B33" t="str">
            <v>Compras de propiedades, planta y equipo</v>
          </cell>
          <cell r="C33"/>
          <cell r="D33">
            <v>-178039754</v>
          </cell>
          <cell r="E33">
            <v>-149645668</v>
          </cell>
        </row>
        <row r="34">
          <cell r="B34" t="str">
            <v>Importes procedentes de ventas de activos intangibles</v>
          </cell>
          <cell r="C34"/>
          <cell r="D34">
            <v>0</v>
          </cell>
          <cell r="E34">
            <v>0</v>
          </cell>
        </row>
        <row r="35">
          <cell r="B35" t="str">
            <v>Compras de activos intangibles</v>
          </cell>
          <cell r="C35"/>
          <cell r="D35">
            <v>-3508080</v>
          </cell>
          <cell r="E35">
            <v>-4494138</v>
          </cell>
        </row>
        <row r="36">
          <cell r="B36" t="str">
            <v>Recursos por ventas de otros activos a largo plazo</v>
          </cell>
          <cell r="C36"/>
          <cell r="D36"/>
          <cell r="E36">
            <v>0</v>
          </cell>
        </row>
        <row r="37">
          <cell r="B37" t="str">
            <v>Compras de otros activos a largo plazo</v>
          </cell>
          <cell r="C37"/>
          <cell r="D37"/>
          <cell r="E37">
            <v>0</v>
          </cell>
        </row>
        <row r="38">
          <cell r="B38" t="str">
            <v>Importes procedentes de subvenciones del gobierno</v>
          </cell>
          <cell r="C38"/>
          <cell r="D38"/>
          <cell r="E38">
            <v>0</v>
          </cell>
        </row>
        <row r="39">
          <cell r="B39" t="str">
            <v>Anticipos de efectivo y préstamos concedidos a terceros</v>
          </cell>
          <cell r="C39"/>
          <cell r="D39"/>
          <cell r="E39">
            <v>0</v>
          </cell>
        </row>
        <row r="40">
          <cell r="B40" t="str">
            <v>Cobros procedentes del reembolso de anticipos y préstamos concedidos a terceros</v>
          </cell>
          <cell r="C40"/>
          <cell r="D40"/>
          <cell r="E40">
            <v>0</v>
          </cell>
        </row>
        <row r="41">
          <cell r="B41" t="str">
            <v>Pagos derivados de contratos de futuro, a término, de opciones y de permuta financiera</v>
          </cell>
          <cell r="C41"/>
          <cell r="D41"/>
          <cell r="E41">
            <v>0</v>
          </cell>
        </row>
        <row r="42">
          <cell r="B42" t="str">
            <v>Cobros procedentes de contratos de futuro, a término, de opciones y de permuta financiera</v>
          </cell>
          <cell r="C42"/>
          <cell r="D42"/>
          <cell r="E42">
            <v>0</v>
          </cell>
        </row>
        <row r="43">
          <cell r="B43" t="str">
            <v>Cobros a entidades relacionadas</v>
          </cell>
          <cell r="C43"/>
          <cell r="D43"/>
          <cell r="E43">
            <v>0</v>
          </cell>
        </row>
        <row r="44">
          <cell r="B44" t="str">
            <v>Dividendos recibidos</v>
          </cell>
          <cell r="C44"/>
          <cell r="D44"/>
          <cell r="E44">
            <v>0</v>
          </cell>
        </row>
        <row r="45">
          <cell r="B45" t="str">
            <v>Intereses recibidos</v>
          </cell>
          <cell r="C45"/>
          <cell r="D45"/>
          <cell r="E45">
            <v>0</v>
          </cell>
        </row>
        <row r="46">
          <cell r="B46" t="str">
            <v>Impuestos a las ganancias reembolsados (pagados)</v>
          </cell>
          <cell r="C46"/>
          <cell r="D46"/>
          <cell r="E46">
            <v>0</v>
          </cell>
        </row>
        <row r="47">
          <cell r="B47" t="str">
            <v>Otras entradas (salidas) de efectivo</v>
          </cell>
          <cell r="C47"/>
          <cell r="D47">
            <v>0</v>
          </cell>
          <cell r="E47">
            <v>-861870</v>
          </cell>
        </row>
        <row r="48">
          <cell r="B48" t="str">
            <v>Flujos de efectivo procedentes de (utilizados en) actividades de inversión</v>
          </cell>
          <cell r="C48"/>
          <cell r="D48">
            <v>-176341951</v>
          </cell>
          <cell r="E48">
            <v>-150000484</v>
          </cell>
        </row>
        <row r="49">
          <cell r="B49" t="str">
            <v>Importes procedentes de la emisión de acciones</v>
          </cell>
          <cell r="C49"/>
          <cell r="D49">
            <v>0</v>
          </cell>
          <cell r="E49">
            <v>0</v>
          </cell>
        </row>
        <row r="50">
          <cell r="B50" t="str">
            <v>Importes procedentes de la emisión de otros instrumentos de patrimonio</v>
          </cell>
          <cell r="C50"/>
          <cell r="D50">
            <v>0</v>
          </cell>
          <cell r="E50">
            <v>0</v>
          </cell>
        </row>
        <row r="51">
          <cell r="B51" t="str">
            <v>Pagos por adquirir o rescatar las acciones de la entidad</v>
          </cell>
          <cell r="C51"/>
          <cell r="D51">
            <v>0</v>
          </cell>
          <cell r="E51">
            <v>0</v>
          </cell>
        </row>
        <row r="52">
          <cell r="B52" t="str">
            <v>Pagos por otras participaciones en el patrimonio</v>
          </cell>
          <cell r="C52"/>
          <cell r="D52">
            <v>0</v>
          </cell>
          <cell r="E52">
            <v>0</v>
          </cell>
        </row>
        <row r="53">
          <cell r="B53" t="str">
            <v>Importes procedentes de préstamos de largo plazo</v>
          </cell>
          <cell r="C53"/>
          <cell r="D53">
            <v>143397310</v>
          </cell>
          <cell r="E53">
            <v>11415588</v>
          </cell>
        </row>
        <row r="54">
          <cell r="B54" t="str">
            <v>Importes procedentes de préstamos de corto plazo</v>
          </cell>
          <cell r="C54"/>
          <cell r="D54"/>
          <cell r="E54">
            <v>0</v>
          </cell>
        </row>
        <row r="55">
          <cell r="B55" t="str">
            <v>Importes procedentes de préstamos, clasificados como actividades de financiación</v>
          </cell>
          <cell r="C55"/>
          <cell r="D55">
            <v>143397310</v>
          </cell>
          <cell r="E55">
            <v>11415588</v>
          </cell>
        </row>
        <row r="56">
          <cell r="B56" t="str">
            <v>Préstamos de entidades relacionadas</v>
          </cell>
          <cell r="C56"/>
          <cell r="D56">
            <v>0</v>
          </cell>
          <cell r="E56">
            <v>0</v>
          </cell>
        </row>
        <row r="57">
          <cell r="B57" t="str">
            <v>Reembolsos de préstamos</v>
          </cell>
          <cell r="C57"/>
          <cell r="D57">
            <v>-157958642</v>
          </cell>
          <cell r="E57">
            <v>-75176411</v>
          </cell>
        </row>
        <row r="58">
          <cell r="B58" t="str">
            <v>Pagos de pasivos por arrendamientos financieros</v>
          </cell>
          <cell r="C58"/>
          <cell r="D58">
            <v>0</v>
          </cell>
          <cell r="E58">
            <v>0</v>
          </cell>
        </row>
        <row r="59">
          <cell r="B59" t="str">
            <v>Pagos de préstamos a entidades relacionadas</v>
          </cell>
          <cell r="C59"/>
          <cell r="D59">
            <v>0</v>
          </cell>
          <cell r="E59">
            <v>0</v>
          </cell>
        </row>
        <row r="60">
          <cell r="B60" t="str">
            <v>Importes procedentes de subvenciones del gobierno</v>
          </cell>
          <cell r="C60"/>
          <cell r="D60">
            <v>0</v>
          </cell>
          <cell r="E60">
            <v>0</v>
          </cell>
        </row>
        <row r="61">
          <cell r="B61" t="str">
            <v>Dividendos pagados</v>
          </cell>
          <cell r="C61"/>
          <cell r="D61">
            <v>-90100417</v>
          </cell>
          <cell r="E61">
            <v>-90611501</v>
          </cell>
        </row>
        <row r="62">
          <cell r="B62" t="str">
            <v>Intereses pagados</v>
          </cell>
          <cell r="C62"/>
          <cell r="D62">
            <v>0</v>
          </cell>
          <cell r="E62"/>
        </row>
        <row r="63">
          <cell r="B63" t="str">
            <v>Impuestos a las ganancias reembolsados (pagados)</v>
          </cell>
          <cell r="C63"/>
          <cell r="D63">
            <v>0</v>
          </cell>
          <cell r="E63"/>
        </row>
        <row r="64">
          <cell r="B64" t="str">
            <v>Otras entradas (salidas) de efectivo</v>
          </cell>
          <cell r="C64"/>
          <cell r="D64">
            <v>-1598321</v>
          </cell>
          <cell r="E64">
            <v>0</v>
          </cell>
        </row>
        <row r="65">
          <cell r="B65" t="str">
            <v xml:space="preserve"> Flujos de efectivo procedentes de (utilizados en) actividades de financiación</v>
          </cell>
          <cell r="C65"/>
          <cell r="D65">
            <v>-106260070</v>
          </cell>
          <cell r="E65">
            <v>-154372324</v>
          </cell>
        </row>
        <row r="66">
          <cell r="B66" t="str">
            <v xml:space="preserve"> Incremento (disminución) en el efectivo y equivalentes al efectivo, antes del efecto de los cambios en la tasa de cambio </v>
          </cell>
          <cell r="C66"/>
          <cell r="D66">
            <v>-398250</v>
          </cell>
          <cell r="E66">
            <v>-70178660</v>
          </cell>
        </row>
        <row r="67">
          <cell r="B67" t="str">
            <v>Efectos de la variación en la tasa de cambio sobre el efectivo y equivalentes al efectivo</v>
          </cell>
          <cell r="C67"/>
          <cell r="D67"/>
          <cell r="E67"/>
        </row>
        <row r="68">
          <cell r="B68" t="str">
            <v>Efectos de la variación en la tasa de cambio sobre el efectivo y equivalentes al efectivo</v>
          </cell>
          <cell r="C68"/>
          <cell r="D68">
            <v>0</v>
          </cell>
          <cell r="E68">
            <v>0</v>
          </cell>
        </row>
        <row r="69">
          <cell r="B69" t="str">
            <v>Incremento (disminución) neto de efectivo y equivalentes al efectivo</v>
          </cell>
          <cell r="C69"/>
          <cell r="D69">
            <v>-398250</v>
          </cell>
          <cell r="E69">
            <v>-70178660</v>
          </cell>
        </row>
        <row r="70">
          <cell r="B70" t="str">
            <v>Efectivo y equivalentes al efectivo al principio del periodo</v>
          </cell>
          <cell r="C70"/>
          <cell r="D70">
            <v>109156681</v>
          </cell>
          <cell r="E70">
            <v>179335341</v>
          </cell>
        </row>
        <row r="71">
          <cell r="B71" t="str">
            <v>Efectivo y equivalentes al efectivo al final del periodo</v>
          </cell>
          <cell r="C71">
            <v>4</v>
          </cell>
          <cell r="D71">
            <v>108758431</v>
          </cell>
          <cell r="E71">
            <v>109156681</v>
          </cell>
        </row>
        <row r="72">
          <cell r="D72"/>
          <cell r="E72"/>
        </row>
        <row r="73">
          <cell r="D73">
            <v>0</v>
          </cell>
          <cell r="E73">
            <v>0</v>
          </cell>
        </row>
        <row r="74">
          <cell r="D74"/>
        </row>
        <row r="76">
          <cell r="B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E76"/>
        </row>
        <row r="77">
          <cell r="E77"/>
        </row>
        <row r="78">
          <cell r="E78"/>
        </row>
        <row r="79">
          <cell r="E79"/>
        </row>
      </sheetData>
      <sheetData sheetId="5">
        <row r="6">
          <cell r="C6">
            <v>621025077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2:I69"/>
  <sheetViews>
    <sheetView showGridLines="0" topLeftCell="A51" zoomScale="90" zoomScaleNormal="90" workbookViewId="0">
      <selection activeCell="I32" sqref="I32"/>
    </sheetView>
  </sheetViews>
  <sheetFormatPr baseColWidth="10" defaultColWidth="11.44140625" defaultRowHeight="13.8"/>
  <cols>
    <col min="1" max="1" width="10.44140625" style="249" customWidth="1"/>
    <col min="2" max="2" width="56.5546875" style="250" customWidth="1"/>
    <col min="3" max="3" width="7.5546875" style="250" customWidth="1"/>
    <col min="4" max="5" width="14.44140625" style="250" customWidth="1"/>
    <col min="6" max="6" width="8" style="250" customWidth="1"/>
    <col min="7" max="7" width="12.5546875" style="131" bestFit="1" customWidth="1"/>
    <col min="8" max="8" width="11.44140625" style="135"/>
    <col min="9" max="9" width="11.44140625" style="249"/>
    <col min="10" max="10" width="13" style="249" bestFit="1" customWidth="1"/>
    <col min="11" max="16384" width="11.44140625" style="249"/>
  </cols>
  <sheetData>
    <row r="2" spans="1:9" ht="21.75" customHeight="1" thickBot="1"/>
    <row r="3" spans="1:9" s="113" customFormat="1" ht="18" customHeight="1">
      <c r="A3" s="251"/>
      <c r="B3" s="296" t="s">
        <v>25</v>
      </c>
      <c r="C3" s="291" t="s">
        <v>26</v>
      </c>
      <c r="D3" s="52">
        <f>+[1]Activo!$D$2</f>
        <v>45657</v>
      </c>
      <c r="E3" s="53">
        <v>45291</v>
      </c>
      <c r="F3" s="111"/>
      <c r="G3" s="298" t="s">
        <v>151</v>
      </c>
      <c r="H3" s="299"/>
    </row>
    <row r="4" spans="1:9" s="113" customFormat="1" ht="18" customHeight="1">
      <c r="A4" s="112"/>
      <c r="B4" s="297"/>
      <c r="C4" s="292"/>
      <c r="D4" s="252" t="s">
        <v>5</v>
      </c>
      <c r="E4" s="253" t="s">
        <v>5</v>
      </c>
      <c r="F4" s="254"/>
      <c r="G4" s="151" t="s">
        <v>5</v>
      </c>
      <c r="H4" s="152" t="s">
        <v>13</v>
      </c>
    </row>
    <row r="5" spans="1:9" s="113" customFormat="1" ht="21" customHeight="1">
      <c r="A5" s="112"/>
      <c r="B5" s="255" t="s">
        <v>27</v>
      </c>
      <c r="C5" s="55"/>
      <c r="D5" s="56"/>
      <c r="E5" s="57"/>
      <c r="F5" s="112"/>
      <c r="G5" s="132"/>
      <c r="H5" s="153"/>
    </row>
    <row r="6" spans="1:9" s="113" customFormat="1" ht="21" customHeight="1">
      <c r="A6" s="112"/>
      <c r="B6" s="64" t="s">
        <v>28</v>
      </c>
      <c r="C6" s="55">
        <v>4</v>
      </c>
      <c r="D6" s="136">
        <f>+VLOOKUP(B6,[1]Activo!$B:$E,3,0)</f>
        <v>108758431</v>
      </c>
      <c r="E6" s="136">
        <f>+VLOOKUP(B6,[1]Activo!$B:$E,4,0)</f>
        <v>109156681</v>
      </c>
      <c r="G6" s="132">
        <f>ROUND(+(D6-E6),0)</f>
        <v>-398250</v>
      </c>
      <c r="H6" s="153">
        <f>IFERROR(G6/E6,1)</f>
        <v>-3.648425330924087E-3</v>
      </c>
      <c r="I6" s="113" t="s">
        <v>268</v>
      </c>
    </row>
    <row r="7" spans="1:9" s="113" customFormat="1" ht="21" customHeight="1">
      <c r="A7" s="112"/>
      <c r="B7" s="64" t="s">
        <v>158</v>
      </c>
      <c r="C7" s="55">
        <v>11</v>
      </c>
      <c r="D7" s="136">
        <f>+VLOOKUP(B7,[1]Activo!$B:$E,3,0)</f>
        <v>0</v>
      </c>
      <c r="E7" s="136">
        <f>+VLOOKUP(B7,[1]Activo!$B:$E,4,0)</f>
        <v>0</v>
      </c>
      <c r="G7" s="132">
        <f t="shared" ref="G7:G14" si="0">ROUND(+(D7-E7),0)</f>
        <v>0</v>
      </c>
      <c r="H7" s="153">
        <f t="shared" ref="H7:H54" si="1">IFERROR(G7/E7,1)</f>
        <v>1</v>
      </c>
      <c r="I7" s="113" t="s">
        <v>269</v>
      </c>
    </row>
    <row r="8" spans="1:9" s="113" customFormat="1" ht="21" customHeight="1">
      <c r="A8" s="112"/>
      <c r="B8" s="64" t="s">
        <v>29</v>
      </c>
      <c r="C8" s="55">
        <v>10</v>
      </c>
      <c r="D8" s="136">
        <f>+VLOOKUP(B8,[1]Activo!$B:$E,3,0)</f>
        <v>3641630</v>
      </c>
      <c r="E8" s="136">
        <f>+VLOOKUP(B8,[1]Activo!$B:$E,4,0)</f>
        <v>7180555</v>
      </c>
      <c r="G8" s="132">
        <f t="shared" si="0"/>
        <v>-3538925</v>
      </c>
      <c r="H8" s="153">
        <f t="shared" si="1"/>
        <v>-0.49284839403082353</v>
      </c>
      <c r="I8" s="113" t="s">
        <v>270</v>
      </c>
    </row>
    <row r="9" spans="1:9" s="113" customFormat="1" ht="21" customHeight="1">
      <c r="A9" s="112"/>
      <c r="B9" s="64" t="s">
        <v>30</v>
      </c>
      <c r="C9" s="55">
        <v>5</v>
      </c>
      <c r="D9" s="136">
        <f>+VLOOKUP(B9,[1]Activo!$B:$E,3,0)</f>
        <v>132404464</v>
      </c>
      <c r="E9" s="136">
        <f>+VLOOKUP(B9,[1]Activo!$B:$E,4,0)</f>
        <v>132007468</v>
      </c>
      <c r="G9" s="132">
        <f t="shared" si="0"/>
        <v>396996</v>
      </c>
      <c r="H9" s="153">
        <f t="shared" si="1"/>
        <v>3.007375310008976E-3</v>
      </c>
      <c r="I9" s="113" t="s">
        <v>271</v>
      </c>
    </row>
    <row r="10" spans="1:9" s="113" customFormat="1" ht="21" customHeight="1">
      <c r="A10" s="112"/>
      <c r="B10" s="64" t="s">
        <v>31</v>
      </c>
      <c r="C10" s="55">
        <v>6</v>
      </c>
      <c r="D10" s="136">
        <f>+VLOOKUP(B10,[1]Activo!$B:$E,3,0)</f>
        <v>73679</v>
      </c>
      <c r="E10" s="136">
        <f>+VLOOKUP(B10,[1]Activo!$B:$E,4,0)</f>
        <v>14381</v>
      </c>
      <c r="G10" s="132">
        <f t="shared" si="0"/>
        <v>59298</v>
      </c>
      <c r="H10" s="153">
        <f t="shared" si="1"/>
        <v>4.1233572074264657</v>
      </c>
    </row>
    <row r="11" spans="1:9" s="113" customFormat="1" ht="21" customHeight="1">
      <c r="A11" s="112"/>
      <c r="B11" s="64" t="s">
        <v>32</v>
      </c>
      <c r="C11" s="55">
        <v>7</v>
      </c>
      <c r="D11" s="136">
        <f>+VLOOKUP(B11,[1]Activo!$B:$E,3,0)</f>
        <v>10476577</v>
      </c>
      <c r="E11" s="136">
        <f>+VLOOKUP(B11,[1]Activo!$B:$E,4,0)</f>
        <v>12812483</v>
      </c>
      <c r="G11" s="132">
        <f t="shared" si="0"/>
        <v>-2335906</v>
      </c>
      <c r="H11" s="153">
        <f t="shared" si="1"/>
        <v>-0.18231485653483404</v>
      </c>
    </row>
    <row r="12" spans="1:9" s="113" customFormat="1" ht="21" customHeight="1" thickBot="1">
      <c r="A12" s="112"/>
      <c r="B12" s="64" t="s">
        <v>238</v>
      </c>
      <c r="C12" s="55">
        <v>8</v>
      </c>
      <c r="D12" s="136">
        <f>+VLOOKUP(B12,[1]Activo!$B:$E,3,0)</f>
        <v>33347482</v>
      </c>
      <c r="E12" s="136">
        <f>+VLOOKUP(B12,[1]Activo!$B:$E,4,0)</f>
        <v>13829428</v>
      </c>
      <c r="G12" s="132">
        <f t="shared" si="0"/>
        <v>19518054</v>
      </c>
      <c r="H12" s="153">
        <f t="shared" si="1"/>
        <v>1.4113421032308784</v>
      </c>
      <c r="I12" s="267"/>
    </row>
    <row r="13" spans="1:9" s="113" customFormat="1" ht="36" customHeight="1" thickBot="1">
      <c r="A13" s="112"/>
      <c r="B13" s="59" t="s">
        <v>33</v>
      </c>
      <c r="C13" s="248"/>
      <c r="D13" s="138">
        <f>SUM(D6:D12)</f>
        <v>288702263</v>
      </c>
      <c r="E13" s="139">
        <f>SUM(E6:E12)</f>
        <v>275000996</v>
      </c>
      <c r="F13" s="114"/>
      <c r="G13" s="154">
        <f>ROUND(+(D13-E13),0)</f>
        <v>13701267</v>
      </c>
      <c r="H13" s="155">
        <f t="shared" si="1"/>
        <v>4.9822608642479241E-2</v>
      </c>
    </row>
    <row r="14" spans="1:9" s="113" customFormat="1" ht="21" customHeight="1" thickBot="1">
      <c r="A14" s="112"/>
      <c r="B14" s="64" t="s">
        <v>239</v>
      </c>
      <c r="C14" s="55">
        <v>9</v>
      </c>
      <c r="D14" s="136">
        <f>+VLOOKUP(B14,[1]Activo!$B:$E,3,0)</f>
        <v>0</v>
      </c>
      <c r="E14" s="136">
        <f>+VLOOKUP(B14,[1]Activo!$B:$E,4,0)</f>
        <v>3414</v>
      </c>
      <c r="G14" s="132">
        <f t="shared" si="0"/>
        <v>-3414</v>
      </c>
      <c r="H14" s="153">
        <f t="shared" si="1"/>
        <v>-1</v>
      </c>
    </row>
    <row r="15" spans="1:9" s="113" customFormat="1" ht="21" customHeight="1" thickBot="1">
      <c r="A15" s="112"/>
      <c r="B15" s="60" t="s">
        <v>34</v>
      </c>
      <c r="C15" s="248"/>
      <c r="D15" s="140">
        <f>+D13+D14</f>
        <v>288702263</v>
      </c>
      <c r="E15" s="141">
        <f>+E13+E14</f>
        <v>275004410</v>
      </c>
      <c r="F15" s="115"/>
      <c r="G15" s="154">
        <f>ROUND(+(D15-E15),0)</f>
        <v>13697853</v>
      </c>
      <c r="H15" s="155">
        <f t="shared" si="1"/>
        <v>4.9809575780984751E-2</v>
      </c>
    </row>
    <row r="16" spans="1:9" s="113" customFormat="1" ht="21" customHeight="1">
      <c r="A16" s="112"/>
      <c r="B16" s="255" t="s">
        <v>192</v>
      </c>
      <c r="C16" s="61"/>
      <c r="D16" s="142"/>
      <c r="E16" s="143"/>
      <c r="F16" s="114"/>
      <c r="G16" s="132"/>
      <c r="H16" s="153"/>
    </row>
    <row r="17" spans="1:9" s="113" customFormat="1" ht="21" customHeight="1">
      <c r="A17" s="112"/>
      <c r="B17" s="64" t="s">
        <v>158</v>
      </c>
      <c r="C17" s="55">
        <v>11</v>
      </c>
      <c r="D17" s="136">
        <f>+VLOOKUP(B17,[1]Activo!$B$15:$E$28,3,0)</f>
        <v>15898043</v>
      </c>
      <c r="E17" s="136">
        <f>+VLOOKUP(B17,[1]Activo!$B$15:$E$28,4,0)</f>
        <v>7895863</v>
      </c>
      <c r="G17" s="132">
        <f t="shared" ref="G17:G26" si="2">ROUND(+(D17-E17),0)</f>
        <v>8002180</v>
      </c>
      <c r="H17" s="153">
        <f t="shared" si="1"/>
        <v>1.0134648992770012</v>
      </c>
    </row>
    <row r="18" spans="1:9" s="113" customFormat="1" ht="21" customHeight="1">
      <c r="A18" s="112"/>
      <c r="B18" s="64" t="s">
        <v>29</v>
      </c>
      <c r="C18" s="55">
        <v>10</v>
      </c>
      <c r="D18" s="136">
        <f>+VLOOKUP(B18,[1]Activo!$B$15:$E$28,3,0)</f>
        <v>6656551</v>
      </c>
      <c r="E18" s="136">
        <f>+VLOOKUP(B18,[1]Activo!$B$15:$E$28,4,0)</f>
        <v>1481897</v>
      </c>
      <c r="G18" s="132">
        <f t="shared" si="2"/>
        <v>5174654</v>
      </c>
      <c r="H18" s="153">
        <f t="shared" si="1"/>
        <v>3.491912055966103</v>
      </c>
      <c r="I18" s="113" t="s">
        <v>272</v>
      </c>
    </row>
    <row r="19" spans="1:9" s="113" customFormat="1" ht="21" customHeight="1">
      <c r="A19" s="112"/>
      <c r="B19" s="64" t="s">
        <v>159</v>
      </c>
      <c r="C19" s="55">
        <v>5</v>
      </c>
      <c r="D19" s="136">
        <f>+VLOOKUP(B19,[1]Activo!$B$15:$E$28,3,0)</f>
        <v>3440746</v>
      </c>
      <c r="E19" s="136">
        <f>+VLOOKUP(B19,[1]Activo!$B$15:$E$28,4,0)</f>
        <v>3778724</v>
      </c>
      <c r="G19" s="132">
        <f t="shared" si="2"/>
        <v>-337978</v>
      </c>
      <c r="H19" s="153">
        <f t="shared" si="1"/>
        <v>-8.9442362024852839E-2</v>
      </c>
    </row>
    <row r="20" spans="1:9" s="113" customFormat="1" ht="21" customHeight="1">
      <c r="A20" s="112"/>
      <c r="B20" s="64" t="s">
        <v>212</v>
      </c>
      <c r="C20" s="55"/>
      <c r="D20" s="136">
        <f>+VLOOKUP(B20,[1]Activo!$B$15:$E$28,3,0)</f>
        <v>0</v>
      </c>
      <c r="E20" s="136">
        <f>+VLOOKUP(B20,[1]Activo!$B$15:$E$28,4,0)</f>
        <v>0</v>
      </c>
      <c r="G20" s="132"/>
      <c r="H20" s="153"/>
    </row>
    <row r="21" spans="1:9" s="113" customFormat="1" ht="21" customHeight="1">
      <c r="A21" s="112"/>
      <c r="B21" s="64" t="s">
        <v>35</v>
      </c>
      <c r="C21" s="55">
        <v>12</v>
      </c>
      <c r="D21" s="136">
        <f>+VLOOKUP(B21,[1]Activo!$B$15:$E$28,3,0)</f>
        <v>619303933</v>
      </c>
      <c r="E21" s="136">
        <f>+VLOOKUP(B21,[1]Activo!$B$15:$E$28,4,0)</f>
        <v>231747713</v>
      </c>
      <c r="G21" s="132">
        <f t="shared" si="2"/>
        <v>387556220</v>
      </c>
      <c r="H21" s="153">
        <f t="shared" si="1"/>
        <v>1.6723195020267578</v>
      </c>
      <c r="I21" s="113" t="s">
        <v>273</v>
      </c>
    </row>
    <row r="22" spans="1:9" s="113" customFormat="1" ht="21" customHeight="1">
      <c r="A22" s="112"/>
      <c r="B22" s="64" t="s">
        <v>288</v>
      </c>
      <c r="C22" s="55">
        <v>13</v>
      </c>
      <c r="D22" s="136">
        <f>+VLOOKUP(B22,[1]Activo!$B$15:$E$28,3,0)</f>
        <v>33823049</v>
      </c>
      <c r="E22" s="136">
        <f>+VLOOKUP(B22,[1]Activo!$B$15:$E$28,4,0)</f>
        <v>33823049</v>
      </c>
      <c r="G22" s="132">
        <f t="shared" si="2"/>
        <v>0</v>
      </c>
      <c r="H22" s="153">
        <f t="shared" si="1"/>
        <v>0</v>
      </c>
    </row>
    <row r="23" spans="1:9" s="113" customFormat="1" ht="21" customHeight="1">
      <c r="A23" s="112"/>
      <c r="B23" s="64" t="s">
        <v>240</v>
      </c>
      <c r="C23" s="55">
        <v>14</v>
      </c>
      <c r="D23" s="136">
        <f>+VLOOKUP(B23,[1]Activo!$B$15:$E$28,3,0)</f>
        <v>2044544144</v>
      </c>
      <c r="E23" s="136">
        <f>+VLOOKUP(B23,[1]Activo!$B$15:$E$28,4,0)</f>
        <v>1805370932</v>
      </c>
      <c r="G23" s="132">
        <f t="shared" si="2"/>
        <v>239173212</v>
      </c>
      <c r="H23" s="153">
        <f t="shared" si="1"/>
        <v>0.13247870992087071</v>
      </c>
      <c r="I23" s="113" t="s">
        <v>274</v>
      </c>
    </row>
    <row r="24" spans="1:9" s="113" customFormat="1" ht="21" customHeight="1">
      <c r="A24" s="112"/>
      <c r="B24" s="64" t="s">
        <v>202</v>
      </c>
      <c r="C24" s="55">
        <v>15</v>
      </c>
      <c r="D24" s="136">
        <f>+VLOOKUP(B24,[1]Activo!$B$15:$E$28,3,0)</f>
        <v>3707341</v>
      </c>
      <c r="E24" s="136">
        <f>+VLOOKUP(B24,[1]Activo!$B$15:$E$28,4,0)</f>
        <v>4307072</v>
      </c>
      <c r="G24" s="132">
        <f t="shared" ref="G24" si="3">ROUND(+(D24-E24),0)</f>
        <v>-599731</v>
      </c>
      <c r="H24" s="153">
        <f t="shared" ref="H24" si="4">IFERROR(G24/E24,1)</f>
        <v>-0.13924331889506375</v>
      </c>
    </row>
    <row r="25" spans="1:9" s="113" customFormat="1" ht="21" customHeight="1" thickBot="1">
      <c r="A25" s="112"/>
      <c r="B25" s="64" t="s">
        <v>241</v>
      </c>
      <c r="C25" s="55">
        <v>16</v>
      </c>
      <c r="D25" s="136">
        <f>+VLOOKUP(B25,[1]Activo!$B$15:$E$28,3,0)</f>
        <v>2083265</v>
      </c>
      <c r="E25" s="136">
        <f>+VLOOKUP(B25,[1]Activo!$B$15:$E$28,4,0)</f>
        <v>59938069</v>
      </c>
      <c r="G25" s="132">
        <f t="shared" si="2"/>
        <v>-57854804</v>
      </c>
      <c r="H25" s="153">
        <f t="shared" si="1"/>
        <v>-0.96524304111298609</v>
      </c>
      <c r="I25" s="267"/>
    </row>
    <row r="26" spans="1:9" s="113" customFormat="1" ht="21" customHeight="1" thickBot="1">
      <c r="A26" s="112"/>
      <c r="B26" s="247" t="s">
        <v>36</v>
      </c>
      <c r="C26" s="248"/>
      <c r="D26" s="138">
        <f>SUM(D17:D25)</f>
        <v>2729457072</v>
      </c>
      <c r="E26" s="139">
        <f>SUM(E17:E25)</f>
        <v>2148343319</v>
      </c>
      <c r="F26" s="114"/>
      <c r="G26" s="154">
        <f t="shared" si="2"/>
        <v>581113753</v>
      </c>
      <c r="H26" s="155">
        <f t="shared" si="1"/>
        <v>0.27049389539400709</v>
      </c>
    </row>
    <row r="27" spans="1:9" s="112" customFormat="1" ht="11.25" customHeight="1" thickBot="1">
      <c r="A27" s="256"/>
      <c r="B27" s="64"/>
      <c r="C27" s="58"/>
      <c r="D27" s="136"/>
      <c r="E27" s="137"/>
      <c r="F27" s="113"/>
      <c r="G27" s="132"/>
      <c r="H27" s="153"/>
    </row>
    <row r="28" spans="1:9" s="113" customFormat="1" ht="21" customHeight="1" thickBot="1">
      <c r="B28" s="257" t="s">
        <v>160</v>
      </c>
      <c r="C28" s="62"/>
      <c r="D28" s="144">
        <f>+D15+D26</f>
        <v>3018159335</v>
      </c>
      <c r="E28" s="145">
        <f>+E15+E26</f>
        <v>2423347729</v>
      </c>
      <c r="F28" s="114"/>
      <c r="G28" s="154">
        <f>ROUND(+(D28-E28),0)</f>
        <v>594811606</v>
      </c>
      <c r="H28" s="155">
        <f t="shared" si="1"/>
        <v>0.24545037382870777</v>
      </c>
    </row>
    <row r="29" spans="1:9">
      <c r="B29" s="258"/>
      <c r="C29" s="258"/>
      <c r="D29" s="116"/>
      <c r="E29" s="116"/>
      <c r="F29" s="116"/>
      <c r="G29" s="134"/>
      <c r="H29" s="153"/>
    </row>
    <row r="30" spans="1:9" ht="14.4" thickBot="1">
      <c r="B30" s="258"/>
      <c r="C30" s="258"/>
      <c r="D30" s="116"/>
      <c r="E30" s="116"/>
      <c r="F30" s="116"/>
      <c r="G30" s="134"/>
      <c r="H30" s="153"/>
    </row>
    <row r="31" spans="1:9" s="113" customFormat="1" ht="20.25" customHeight="1">
      <c r="A31" s="251"/>
      <c r="B31" s="296" t="s">
        <v>37</v>
      </c>
      <c r="C31" s="291" t="s">
        <v>26</v>
      </c>
      <c r="D31" s="52">
        <f>+D3</f>
        <v>45657</v>
      </c>
      <c r="E31" s="53">
        <f>+E3</f>
        <v>45291</v>
      </c>
      <c r="G31" s="132"/>
      <c r="H31" s="153"/>
    </row>
    <row r="32" spans="1:9" s="113" customFormat="1" ht="18" customHeight="1">
      <c r="A32" s="112"/>
      <c r="B32" s="297"/>
      <c r="C32" s="292"/>
      <c r="D32" s="252" t="s">
        <v>5</v>
      </c>
      <c r="E32" s="253" t="s">
        <v>5</v>
      </c>
      <c r="G32" s="132"/>
      <c r="H32" s="153"/>
    </row>
    <row r="33" spans="1:9" s="113" customFormat="1" ht="18" customHeight="1">
      <c r="A33" s="112"/>
      <c r="B33" s="255" t="s">
        <v>38</v>
      </c>
      <c r="C33" s="259"/>
      <c r="D33" s="56"/>
      <c r="E33" s="57"/>
      <c r="G33" s="132"/>
      <c r="H33" s="153"/>
    </row>
    <row r="34" spans="1:9" s="112" customFormat="1" ht="18" customHeight="1">
      <c r="B34" s="64" t="s">
        <v>247</v>
      </c>
      <c r="C34" s="55">
        <v>17</v>
      </c>
      <c r="D34" s="136">
        <f>+VLOOKUP(B34,[1]Pasivo!$B:$E,3,0)</f>
        <v>116332739</v>
      </c>
      <c r="E34" s="136">
        <f>+VLOOKUP(B34,[1]Pasivo!$B:$E,4,0)</f>
        <v>155416801</v>
      </c>
      <c r="F34" s="113"/>
      <c r="G34" s="132">
        <f t="shared" ref="G34:G42" si="5">ROUND(+(D34-E34),0)</f>
        <v>-39084062</v>
      </c>
      <c r="H34" s="153">
        <f t="shared" si="1"/>
        <v>-0.25147900193879297</v>
      </c>
      <c r="I34" s="112" t="s">
        <v>275</v>
      </c>
    </row>
    <row r="35" spans="1:9" s="112" customFormat="1" ht="18" customHeight="1">
      <c r="B35" s="64" t="s">
        <v>203</v>
      </c>
      <c r="C35" s="55">
        <v>15</v>
      </c>
      <c r="D35" s="136">
        <f>+VLOOKUP(B35,[1]Pasivo!$B:$E,3,0)</f>
        <v>1802206</v>
      </c>
      <c r="E35" s="136">
        <f>+VLOOKUP(B35,[1]Pasivo!$B:$E,4,0)</f>
        <v>1752912</v>
      </c>
      <c r="F35" s="113"/>
      <c r="G35" s="132">
        <f t="shared" ref="G35" si="6">ROUND(+(D35-E35),0)</f>
        <v>49294</v>
      </c>
      <c r="H35" s="153">
        <f t="shared" ref="H35" si="7">IFERROR(G35/E35,1)</f>
        <v>2.8121206312695674E-2</v>
      </c>
    </row>
    <row r="36" spans="1:9" s="112" customFormat="1" ht="18" customHeight="1">
      <c r="B36" s="64" t="s">
        <v>242</v>
      </c>
      <c r="C36" s="55">
        <v>18</v>
      </c>
      <c r="D36" s="136">
        <f>+VLOOKUP(B36,[1]Pasivo!$B:$E,3,0)</f>
        <v>184642753</v>
      </c>
      <c r="E36" s="136">
        <f>+VLOOKUP(B36,[1]Pasivo!$B:$E,4,0)</f>
        <v>177288051</v>
      </c>
      <c r="F36" s="113"/>
      <c r="G36" s="132">
        <f t="shared" si="5"/>
        <v>7354702</v>
      </c>
      <c r="H36" s="153">
        <f t="shared" si="1"/>
        <v>4.1484476582124535E-2</v>
      </c>
      <c r="I36" s="113" t="s">
        <v>276</v>
      </c>
    </row>
    <row r="37" spans="1:9" s="112" customFormat="1" ht="18" customHeight="1">
      <c r="B37" s="64" t="s">
        <v>39</v>
      </c>
      <c r="C37" s="55">
        <v>6</v>
      </c>
      <c r="D37" s="136">
        <f>+VLOOKUP(B37,[1]Pasivo!$B:$E,3,0)</f>
        <v>22293636</v>
      </c>
      <c r="E37" s="136">
        <f>+VLOOKUP(B37,[1]Pasivo!$B:$E,4,0)</f>
        <v>1578553</v>
      </c>
      <c r="F37" s="113"/>
      <c r="G37" s="132">
        <f t="shared" si="5"/>
        <v>20715083</v>
      </c>
      <c r="H37" s="153">
        <f t="shared" si="1"/>
        <v>13.122830212226006</v>
      </c>
    </row>
    <row r="38" spans="1:9" s="112" customFormat="1" ht="18" customHeight="1">
      <c r="B38" s="64" t="s">
        <v>43</v>
      </c>
      <c r="C38" s="55">
        <v>19</v>
      </c>
      <c r="D38" s="136">
        <f>+VLOOKUP(B38,[1]Pasivo!$B:$E,3,0)</f>
        <v>1060276</v>
      </c>
      <c r="E38" s="136">
        <f>+VLOOKUP(B38,[1]Pasivo!$B:$E,4,0)</f>
        <v>735780</v>
      </c>
      <c r="F38" s="113"/>
      <c r="G38" s="132">
        <f t="shared" si="5"/>
        <v>324496</v>
      </c>
      <c r="H38" s="153">
        <f t="shared" si="1"/>
        <v>0.44102313191443093</v>
      </c>
    </row>
    <row r="39" spans="1:9" s="112" customFormat="1" ht="18" customHeight="1">
      <c r="B39" s="64" t="s">
        <v>40</v>
      </c>
      <c r="C39" s="55">
        <v>8</v>
      </c>
      <c r="D39" s="136">
        <f>+VLOOKUP(B39,[1]Pasivo!$B:$E,3,0)</f>
        <v>538435</v>
      </c>
      <c r="E39" s="136">
        <f>+VLOOKUP(B39,[1]Pasivo!$B:$E,4,0)</f>
        <v>240748</v>
      </c>
      <c r="F39" s="113"/>
      <c r="G39" s="132">
        <f t="shared" si="5"/>
        <v>297687</v>
      </c>
      <c r="H39" s="153">
        <f t="shared" si="1"/>
        <v>1.2365087145064548</v>
      </c>
    </row>
    <row r="40" spans="1:9" s="112" customFormat="1" ht="18" customHeight="1">
      <c r="B40" s="64" t="s">
        <v>243</v>
      </c>
      <c r="C40" s="55">
        <v>20</v>
      </c>
      <c r="D40" s="136">
        <f>+VLOOKUP(B40,[1]Pasivo!$B:$E,3,0)</f>
        <v>7471420</v>
      </c>
      <c r="E40" s="136">
        <f>+VLOOKUP(B40,[1]Pasivo!$B:$E,4,0)</f>
        <v>5955720</v>
      </c>
      <c r="F40" s="113"/>
      <c r="G40" s="132">
        <f t="shared" si="5"/>
        <v>1515700</v>
      </c>
      <c r="H40" s="153">
        <f t="shared" si="1"/>
        <v>0.25449483857535277</v>
      </c>
    </row>
    <row r="41" spans="1:9" s="112" customFormat="1" ht="18" customHeight="1" thickBot="1">
      <c r="B41" s="64" t="s">
        <v>150</v>
      </c>
      <c r="C41" s="55">
        <v>21</v>
      </c>
      <c r="D41" s="136">
        <f>+VLOOKUP(B41,[1]Pasivo!$B:$E,3,0)</f>
        <v>17372024</v>
      </c>
      <c r="E41" s="136">
        <f>+VLOOKUP(B41,[1]Pasivo!$B:$E,4,0)</f>
        <v>18699561</v>
      </c>
      <c r="F41" s="113"/>
      <c r="G41" s="132">
        <f t="shared" si="5"/>
        <v>-1327537</v>
      </c>
      <c r="H41" s="153">
        <f t="shared" si="1"/>
        <v>-7.0992950048399533E-2</v>
      </c>
      <c r="I41" s="112" t="s">
        <v>277</v>
      </c>
    </row>
    <row r="42" spans="1:9" s="113" customFormat="1" ht="42" thickBot="1">
      <c r="A42" s="112"/>
      <c r="B42" s="59" t="s">
        <v>193</v>
      </c>
      <c r="C42" s="248"/>
      <c r="D42" s="138">
        <f>SUM(D34:D41)</f>
        <v>351513489</v>
      </c>
      <c r="E42" s="139">
        <f>SUM(E34:E41)</f>
        <v>361668126</v>
      </c>
      <c r="G42" s="154">
        <f t="shared" si="5"/>
        <v>-10154637</v>
      </c>
      <c r="H42" s="155">
        <f t="shared" si="1"/>
        <v>-2.8077224034943019E-2</v>
      </c>
    </row>
    <row r="43" spans="1:9" s="112" customFormat="1" ht="21.75" customHeight="1" thickBot="1">
      <c r="B43" s="64" t="s">
        <v>244</v>
      </c>
      <c r="C43" s="58"/>
      <c r="D43" s="136">
        <f>+VLOOKUP(B43,[1]Pasivo!$B:$E,3,0)</f>
        <v>0</v>
      </c>
      <c r="E43" s="136">
        <f>+VLOOKUP(B43,[1]Pasivo!$B:$E,4,0)</f>
        <v>0</v>
      </c>
      <c r="F43" s="113"/>
      <c r="G43" s="132">
        <f t="shared" ref="G43" si="8">ROUND(+(D43-E43),0)</f>
        <v>0</v>
      </c>
      <c r="H43" s="153">
        <f t="shared" ref="H43" si="9">IFERROR(G43/E43,1)</f>
        <v>1</v>
      </c>
    </row>
    <row r="44" spans="1:9" s="113" customFormat="1" ht="21" customHeight="1" thickBot="1">
      <c r="A44" s="112"/>
      <c r="B44" s="247" t="s">
        <v>41</v>
      </c>
      <c r="C44" s="260"/>
      <c r="D44" s="138">
        <f>+D42+D43</f>
        <v>351513489</v>
      </c>
      <c r="E44" s="139">
        <f>+E42+E43</f>
        <v>361668126</v>
      </c>
      <c r="G44" s="154">
        <f>ROUND(+(D44-E44),0)</f>
        <v>-10154637</v>
      </c>
      <c r="H44" s="155">
        <f t="shared" si="1"/>
        <v>-2.8077224034943019E-2</v>
      </c>
    </row>
    <row r="45" spans="1:9" s="112" customFormat="1" ht="21" customHeight="1">
      <c r="B45" s="255" t="s">
        <v>42</v>
      </c>
      <c r="C45" s="259"/>
      <c r="D45" s="136"/>
      <c r="E45" s="137"/>
      <c r="F45" s="113"/>
      <c r="G45" s="132"/>
      <c r="H45" s="153"/>
    </row>
    <row r="46" spans="1:9" s="112" customFormat="1" ht="18" customHeight="1">
      <c r="B46" s="64" t="s">
        <v>289</v>
      </c>
      <c r="C46" s="55">
        <v>17</v>
      </c>
      <c r="D46" s="136">
        <f>+VLOOKUP(B46,[1]Pasivo!$B$16:$E$40,3,0)</f>
        <v>1205884299</v>
      </c>
      <c r="E46" s="136">
        <f>+VLOOKUP(B46,[1]Pasivo!$B$16:$E$40,4,0)</f>
        <v>1125060897</v>
      </c>
      <c r="F46" s="113"/>
      <c r="G46" s="132">
        <f t="shared" ref="G46:G54" si="10">ROUND(+(D46-E46),0)</f>
        <v>80823402</v>
      </c>
      <c r="H46" s="153">
        <f t="shared" si="1"/>
        <v>7.1839135299713475E-2</v>
      </c>
      <c r="I46" s="112" t="s">
        <v>278</v>
      </c>
    </row>
    <row r="47" spans="1:9" s="112" customFormat="1" ht="18" customHeight="1">
      <c r="B47" s="64" t="s">
        <v>203</v>
      </c>
      <c r="C47" s="55">
        <v>15</v>
      </c>
      <c r="D47" s="136">
        <f>+VLOOKUP(B47,[1]Pasivo!$B$16:$E$40,3,0)</f>
        <v>2578760</v>
      </c>
      <c r="E47" s="136">
        <f>+VLOOKUP(B47,[1]Pasivo!$B$16:$E$40,4,0)</f>
        <v>2762179</v>
      </c>
      <c r="F47" s="113"/>
      <c r="G47" s="132">
        <f t="shared" ref="G47" si="11">ROUND(+(D47-E47),0)</f>
        <v>-183419</v>
      </c>
      <c r="H47" s="153">
        <f t="shared" ref="H47" si="12">IFERROR(G47/E47,1)</f>
        <v>-6.6403734153362259E-2</v>
      </c>
    </row>
    <row r="48" spans="1:9" s="112" customFormat="1" ht="18" customHeight="1">
      <c r="B48" s="64" t="s">
        <v>45</v>
      </c>
      <c r="C48" s="55">
        <v>18</v>
      </c>
      <c r="D48" s="136">
        <f>+VLOOKUP(B48,[1]Pasivo!$B$16:$E$40,3,0)</f>
        <v>1362795</v>
      </c>
      <c r="E48" s="136">
        <f>+VLOOKUP(B48,[1]Pasivo!$B$16:$E$40,4,0)</f>
        <v>1181870</v>
      </c>
      <c r="F48" s="113"/>
      <c r="G48" s="132">
        <f t="shared" si="10"/>
        <v>180925</v>
      </c>
      <c r="H48" s="153">
        <f t="shared" si="1"/>
        <v>0.1530836724851295</v>
      </c>
    </row>
    <row r="49" spans="1:8" s="112" customFormat="1" ht="18" customHeight="1">
      <c r="B49" s="64" t="s">
        <v>39</v>
      </c>
      <c r="C49" s="55"/>
      <c r="D49" s="136">
        <f>+VLOOKUP(B49,[1]Pasivo!$B$16:$E$40,3,0)</f>
        <v>0</v>
      </c>
      <c r="E49" s="136">
        <f>+VLOOKUP(B49,[1]Pasivo!$B$16:$E$40,4,0)</f>
        <v>0</v>
      </c>
      <c r="F49" s="113"/>
      <c r="G49" s="132">
        <f t="shared" ref="G49" si="13">ROUND(+(D49-E49),0)</f>
        <v>0</v>
      </c>
      <c r="H49" s="153">
        <f t="shared" ref="H49" si="14">IFERROR(G49/E49,1)</f>
        <v>1</v>
      </c>
    </row>
    <row r="50" spans="1:8" s="112" customFormat="1" ht="18" customHeight="1">
      <c r="B50" s="64" t="s">
        <v>43</v>
      </c>
      <c r="C50" s="55">
        <v>19</v>
      </c>
      <c r="D50" s="136">
        <f>+VLOOKUP(B50,[1]Pasivo!$B$16:$E$40,3,0)</f>
        <v>1908445</v>
      </c>
      <c r="E50" s="136">
        <f>+VLOOKUP(B50,[1]Pasivo!$B$16:$E$40,4,0)</f>
        <v>1823379</v>
      </c>
      <c r="F50" s="113"/>
      <c r="G50" s="132">
        <f t="shared" si="10"/>
        <v>85066</v>
      </c>
      <c r="H50" s="153">
        <f t="shared" si="1"/>
        <v>4.6652944889680095E-2</v>
      </c>
    </row>
    <row r="51" spans="1:8" s="112" customFormat="1" ht="18" customHeight="1">
      <c r="B51" s="64" t="s">
        <v>44</v>
      </c>
      <c r="C51" s="55">
        <v>16</v>
      </c>
      <c r="D51" s="136">
        <f>+VLOOKUP(B51,[1]Pasivo!$B$16:$E$40,3,0)</f>
        <v>130710566</v>
      </c>
      <c r="E51" s="136">
        <f>+VLOOKUP(B51,[1]Pasivo!$B$16:$E$40,4,0)</f>
        <v>14934780</v>
      </c>
      <c r="F51" s="113"/>
      <c r="G51" s="132">
        <f t="shared" si="10"/>
        <v>115775786</v>
      </c>
      <c r="H51" s="153">
        <f t="shared" si="1"/>
        <v>7.7520918286041036</v>
      </c>
    </row>
    <row r="52" spans="1:8" s="112" customFormat="1" ht="18" customHeight="1">
      <c r="B52" s="64" t="s">
        <v>245</v>
      </c>
      <c r="C52" s="55">
        <v>20</v>
      </c>
      <c r="D52" s="136">
        <f>+VLOOKUP(B52,[1]Pasivo!$B$16:$E$40,3,0)</f>
        <v>24484390</v>
      </c>
      <c r="E52" s="136">
        <f>+VLOOKUP(B52,[1]Pasivo!$B$16:$E$40,4,0)</f>
        <v>22322555</v>
      </c>
      <c r="F52" s="113"/>
      <c r="G52" s="132">
        <f t="shared" si="10"/>
        <v>2161835</v>
      </c>
      <c r="H52" s="153">
        <f t="shared" si="1"/>
        <v>9.6845320797731269E-2</v>
      </c>
    </row>
    <row r="53" spans="1:8" s="112" customFormat="1" ht="18" customHeight="1" thickBot="1">
      <c r="B53" s="64" t="s">
        <v>150</v>
      </c>
      <c r="C53" s="55">
        <v>21</v>
      </c>
      <c r="D53" s="136">
        <f>+VLOOKUP(B53,[1]Pasivo!$B$16:$E$40,3,0)</f>
        <v>7601123</v>
      </c>
      <c r="E53" s="136">
        <f>+VLOOKUP(B53,[1]Pasivo!$B$16:$E$40,4,0)</f>
        <v>7454645</v>
      </c>
      <c r="F53" s="113"/>
      <c r="G53" s="132">
        <f t="shared" si="10"/>
        <v>146478</v>
      </c>
      <c r="H53" s="153">
        <f t="shared" si="1"/>
        <v>1.9649225415831337E-2</v>
      </c>
    </row>
    <row r="54" spans="1:8" s="112" customFormat="1" ht="21" customHeight="1" thickBot="1">
      <c r="B54" s="247" t="s">
        <v>161</v>
      </c>
      <c r="C54" s="260"/>
      <c r="D54" s="138">
        <f>SUM(D46:D53)</f>
        <v>1374530378</v>
      </c>
      <c r="E54" s="139">
        <f>SUM(E46:E53)</f>
        <v>1175540305</v>
      </c>
      <c r="F54" s="113"/>
      <c r="G54" s="154">
        <f t="shared" si="10"/>
        <v>198990073</v>
      </c>
      <c r="H54" s="155">
        <f t="shared" si="1"/>
        <v>0.16927541501862839</v>
      </c>
    </row>
    <row r="55" spans="1:8" s="112" customFormat="1" ht="4.5" customHeight="1" thickBot="1">
      <c r="B55" s="64"/>
      <c r="C55" s="58"/>
      <c r="D55" s="136"/>
      <c r="E55" s="137"/>
      <c r="F55" s="113"/>
      <c r="G55" s="132"/>
      <c r="H55" s="153"/>
    </row>
    <row r="56" spans="1:8" s="112" customFormat="1" ht="21" customHeight="1" thickBot="1">
      <c r="B56" s="247" t="s">
        <v>46</v>
      </c>
      <c r="C56" s="260"/>
      <c r="D56" s="138">
        <f>+D54+D44</f>
        <v>1726043867</v>
      </c>
      <c r="E56" s="139">
        <f>+E54+E44</f>
        <v>1537208431</v>
      </c>
      <c r="F56" s="113"/>
      <c r="G56" s="154">
        <f>ROUND(+(D56-E56),0)</f>
        <v>188835436</v>
      </c>
      <c r="H56" s="155">
        <f t="shared" ref="H56:H67" si="15">IFERROR(G56/E56,100)</f>
        <v>0.12284309153649184</v>
      </c>
    </row>
    <row r="57" spans="1:8" s="112" customFormat="1" ht="21" customHeight="1">
      <c r="B57" s="255" t="s">
        <v>162</v>
      </c>
      <c r="C57" s="63"/>
      <c r="D57" s="146"/>
      <c r="E57" s="147"/>
      <c r="F57" s="113"/>
      <c r="G57" s="132"/>
      <c r="H57" s="153"/>
    </row>
    <row r="58" spans="1:8" s="112" customFormat="1" ht="18" customHeight="1">
      <c r="B58" s="64" t="s">
        <v>290</v>
      </c>
      <c r="C58" s="55">
        <v>22</v>
      </c>
      <c r="D58" s="136">
        <f>+VLOOKUP(B58,[1]Pasivo!$B:$E,3,0)</f>
        <v>155567354</v>
      </c>
      <c r="E58" s="136">
        <f>+VLOOKUP(B58,[1]Pasivo!$B:$E,4,0)</f>
        <v>155567354</v>
      </c>
      <c r="F58" s="113"/>
      <c r="G58" s="132">
        <f t="shared" ref="G58:G65" si="16">ROUND(+(D58-E58),0)</f>
        <v>0</v>
      </c>
      <c r="H58" s="153">
        <f t="shared" si="15"/>
        <v>0</v>
      </c>
    </row>
    <row r="59" spans="1:8" s="112" customFormat="1" ht="18" customHeight="1">
      <c r="B59" s="64" t="s">
        <v>246</v>
      </c>
      <c r="C59" s="55">
        <v>22</v>
      </c>
      <c r="D59" s="136">
        <f>+VLOOKUP(B59,[1]Pasivo!$B:$E,3,0)</f>
        <v>407021368</v>
      </c>
      <c r="E59" s="136">
        <f>+VLOOKUP(B59,[1]Pasivo!$B:$E,4,0)</f>
        <v>411044222</v>
      </c>
      <c r="F59" s="113"/>
      <c r="G59" s="132">
        <f t="shared" si="16"/>
        <v>-4022854</v>
      </c>
      <c r="H59" s="153">
        <f t="shared" si="15"/>
        <v>-9.7869129030111988E-3</v>
      </c>
    </row>
    <row r="60" spans="1:8" s="112" customFormat="1" ht="18" customHeight="1">
      <c r="B60" s="261" t="s">
        <v>291</v>
      </c>
      <c r="C60" s="55">
        <v>22</v>
      </c>
      <c r="D60" s="136">
        <f>+VLOOKUP(B60,[1]Pasivo!$B:$E,3,0)</f>
        <v>164064038</v>
      </c>
      <c r="E60" s="136">
        <f>+VLOOKUP(B60,[1]Pasivo!$B:$E,4,0)</f>
        <v>164064038</v>
      </c>
      <c r="F60" s="113"/>
      <c r="G60" s="132">
        <f t="shared" si="16"/>
        <v>0</v>
      </c>
      <c r="H60" s="153">
        <f t="shared" si="15"/>
        <v>0</v>
      </c>
    </row>
    <row r="61" spans="1:8" s="113" customFormat="1" ht="18" customHeight="1">
      <c r="A61" s="112"/>
      <c r="B61" s="64" t="s">
        <v>47</v>
      </c>
      <c r="C61" s="55">
        <v>22</v>
      </c>
      <c r="D61" s="136">
        <f>+VLOOKUP(B61,[1]Pasivo!$B:$E,3,0)</f>
        <v>-5965550</v>
      </c>
      <c r="E61" s="136">
        <f>+VLOOKUP(B61,[1]Pasivo!$B:$E,4,0)</f>
        <v>-5965550</v>
      </c>
      <c r="G61" s="132">
        <f t="shared" si="16"/>
        <v>0</v>
      </c>
      <c r="H61" s="153">
        <f t="shared" si="15"/>
        <v>0</v>
      </c>
    </row>
    <row r="62" spans="1:8" s="113" customFormat="1" ht="18" customHeight="1" thickBot="1">
      <c r="A62" s="112"/>
      <c r="B62" s="64" t="s">
        <v>221</v>
      </c>
      <c r="C62" s="55">
        <v>22</v>
      </c>
      <c r="D62" s="136">
        <f>+VLOOKUP(B62,[1]Pasivo!$B:$E,3,0)</f>
        <v>571379740</v>
      </c>
      <c r="E62" s="136">
        <f>+VLOOKUP(B62,[1]Pasivo!$B:$E,4,0)</f>
        <v>161397766</v>
      </c>
      <c r="G62" s="132">
        <f t="shared" si="16"/>
        <v>409981974</v>
      </c>
      <c r="H62" s="153"/>
    </row>
    <row r="63" spans="1:8" s="113" customFormat="1" ht="21.75" customHeight="1" thickBot="1">
      <c r="A63" s="112"/>
      <c r="B63" s="262" t="s">
        <v>20</v>
      </c>
      <c r="C63" s="55"/>
      <c r="D63" s="142">
        <f>SUM(D58:D62)</f>
        <v>1292066950</v>
      </c>
      <c r="E63" s="143">
        <f>SUM(E58:E62)</f>
        <v>886107830</v>
      </c>
      <c r="G63" s="154">
        <f>ROUND(+(D63-E63),0)</f>
        <v>405959120</v>
      </c>
      <c r="H63" s="155">
        <f t="shared" si="15"/>
        <v>0.4581373804133973</v>
      </c>
    </row>
    <row r="64" spans="1:8" s="113" customFormat="1" ht="21.75" customHeight="1" thickBot="1">
      <c r="A64" s="112"/>
      <c r="B64" s="64" t="s">
        <v>21</v>
      </c>
      <c r="C64" s="55">
        <v>23</v>
      </c>
      <c r="D64" s="136">
        <f>+VLOOKUP(B64,[1]Pasivo!$B:$E,3,0)</f>
        <v>48518</v>
      </c>
      <c r="E64" s="136">
        <f>+VLOOKUP(B64,[1]Pasivo!$B:$E,4,0)</f>
        <v>31468</v>
      </c>
      <c r="G64" s="132">
        <f t="shared" si="16"/>
        <v>17050</v>
      </c>
      <c r="H64" s="153">
        <f t="shared" si="15"/>
        <v>0.54182026185331134</v>
      </c>
    </row>
    <row r="65" spans="1:8" s="113" customFormat="1" ht="18" customHeight="1" thickBot="1">
      <c r="A65" s="112"/>
      <c r="B65" s="247" t="s">
        <v>163</v>
      </c>
      <c r="C65" s="65"/>
      <c r="D65" s="138">
        <f>+D63+D64</f>
        <v>1292115468</v>
      </c>
      <c r="E65" s="139">
        <f>+E63+E64</f>
        <v>886139298</v>
      </c>
      <c r="G65" s="154">
        <f t="shared" si="16"/>
        <v>405976170</v>
      </c>
      <c r="H65" s="155">
        <f t="shared" si="15"/>
        <v>0.45814035210522852</v>
      </c>
    </row>
    <row r="66" spans="1:8" s="112" customFormat="1" ht="11.25" customHeight="1" thickBot="1">
      <c r="B66" s="64"/>
      <c r="C66" s="58"/>
      <c r="D66" s="136"/>
      <c r="E66" s="137"/>
      <c r="F66" s="113"/>
      <c r="G66" s="132"/>
      <c r="H66" s="153"/>
    </row>
    <row r="67" spans="1:8" s="113" customFormat="1" ht="20.25" customHeight="1" thickBot="1">
      <c r="A67" s="112"/>
      <c r="B67" s="257" t="s">
        <v>164</v>
      </c>
      <c r="C67" s="263"/>
      <c r="D67" s="144">
        <f>+D65+D56</f>
        <v>3018159335</v>
      </c>
      <c r="E67" s="145">
        <f>+E65+E56</f>
        <v>2423347729</v>
      </c>
      <c r="G67" s="154">
        <f>ROUND(+(D67-E67),0)</f>
        <v>594811606</v>
      </c>
      <c r="H67" s="155">
        <f t="shared" si="15"/>
        <v>0.24545037382870777</v>
      </c>
    </row>
    <row r="69" spans="1:8" ht="15" customHeight="1">
      <c r="B69" s="264" t="s">
        <v>198</v>
      </c>
      <c r="C69" s="264"/>
      <c r="D69" s="265">
        <f>+D67-D28</f>
        <v>0</v>
      </c>
      <c r="E69" s="265">
        <f>+E67-E28</f>
        <v>0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92D050"/>
    <pageSetUpPr fitToPage="1"/>
  </sheetPr>
  <dimension ref="B1:L72"/>
  <sheetViews>
    <sheetView showGridLines="0" zoomScale="90" zoomScaleNormal="90" workbookViewId="0">
      <selection activeCell="I32" sqref="I32"/>
    </sheetView>
  </sheetViews>
  <sheetFormatPr baseColWidth="10" defaultColWidth="11.44140625" defaultRowHeight="13.8"/>
  <cols>
    <col min="1" max="1" width="6.33203125" style="92" customWidth="1"/>
    <col min="2" max="2" width="71.6640625" style="92" customWidth="1"/>
    <col min="3" max="3" width="5.5546875" style="92" customWidth="1"/>
    <col min="4" max="4" width="14.5546875" style="92" bestFit="1" customWidth="1"/>
    <col min="5" max="5" width="12.44140625" style="92" bestFit="1" customWidth="1"/>
    <col min="6" max="6" width="4.6640625" style="92" customWidth="1"/>
    <col min="7" max="7" width="12" style="148" bestFit="1" customWidth="1"/>
    <col min="8" max="8" width="11.44140625" style="150"/>
    <col min="9" max="9" width="11.44140625" style="92"/>
    <col min="10" max="10" width="13.5546875" style="92" customWidth="1"/>
    <col min="11" max="11" width="12.44140625" style="92" bestFit="1" customWidth="1"/>
    <col min="12" max="16384" width="11.44140625" style="92"/>
  </cols>
  <sheetData>
    <row r="1" spans="2:12" ht="14.4" thickBot="1"/>
    <row r="2" spans="2:12" s="93" customFormat="1" ht="12" customHeight="1">
      <c r="B2" s="300" t="s">
        <v>136</v>
      </c>
      <c r="C2" s="302" t="s">
        <v>26</v>
      </c>
      <c r="D2" s="125">
        <f>+[1]Flujo!$D$3</f>
        <v>45657</v>
      </c>
      <c r="E2" s="125">
        <f>+[1]Flujo!$D$3</f>
        <v>45657</v>
      </c>
      <c r="G2" s="293" t="s">
        <v>151</v>
      </c>
      <c r="H2" s="294"/>
    </row>
    <row r="3" spans="2:12" s="93" customFormat="1" ht="12" customHeight="1">
      <c r="B3" s="301"/>
      <c r="C3" s="303"/>
      <c r="D3" s="94" t="s">
        <v>5</v>
      </c>
      <c r="E3" s="95" t="s">
        <v>5</v>
      </c>
      <c r="G3" s="160" t="s">
        <v>5</v>
      </c>
      <c r="H3" s="161" t="s">
        <v>13</v>
      </c>
    </row>
    <row r="4" spans="2:12" s="98" customFormat="1" ht="21" customHeight="1">
      <c r="B4" s="88" t="s">
        <v>51</v>
      </c>
      <c r="C4" s="89"/>
      <c r="D4" s="169">
        <f>+VLOOKUP(B4,[1]Flujo!$B:$E,3,0)</f>
        <v>776472144</v>
      </c>
      <c r="E4" s="169">
        <f>+VLOOKUP(B4,[1]Flujo!$B:$E,4,0)</f>
        <v>735405398</v>
      </c>
      <c r="F4" s="97"/>
      <c r="G4" s="132">
        <f>ROUND(+(D4-E4),0)</f>
        <v>41066746</v>
      </c>
      <c r="H4" s="162">
        <f>+IFERROR(G4/E4,1)</f>
        <v>5.5842323311311892E-2</v>
      </c>
      <c r="J4" s="98" t="s">
        <v>51</v>
      </c>
      <c r="K4" s="126"/>
      <c r="L4" s="126"/>
    </row>
    <row r="5" spans="2:12" s="98" customFormat="1" ht="21" customHeight="1">
      <c r="B5" s="88" t="s">
        <v>53</v>
      </c>
      <c r="C5" s="89"/>
      <c r="D5" s="169">
        <f>+VLOOKUP(B5,[1]Flujo!$B:$E,3,0)</f>
        <v>0</v>
      </c>
      <c r="E5" s="169">
        <f>+VLOOKUP(B5,[1]Flujo!$B:$E,4,0)</f>
        <v>0</v>
      </c>
      <c r="F5" s="97"/>
      <c r="G5" s="132">
        <f t="shared" ref="G5:G61" si="0">ROUND(+(D5-E5),0)</f>
        <v>0</v>
      </c>
      <c r="H5" s="162"/>
      <c r="J5" s="98" t="s">
        <v>53</v>
      </c>
    </row>
    <row r="6" spans="2:12" s="98" customFormat="1" ht="21" customHeight="1">
      <c r="B6" s="88" t="s">
        <v>52</v>
      </c>
      <c r="C6" s="89"/>
      <c r="D6" s="169">
        <f>+VLOOKUP(B6,[1]Flujo!$B:$E,3,0)</f>
        <v>0</v>
      </c>
      <c r="E6" s="169">
        <f>+VLOOKUP(B6,[1]Flujo!$B:$E,4,0)</f>
        <v>0</v>
      </c>
      <c r="F6" s="97"/>
      <c r="G6" s="132">
        <f t="shared" si="0"/>
        <v>0</v>
      </c>
      <c r="H6" s="162"/>
      <c r="J6" s="98" t="s">
        <v>52</v>
      </c>
    </row>
    <row r="7" spans="2:12" s="98" customFormat="1" ht="21" customHeight="1">
      <c r="B7" s="88" t="s">
        <v>54</v>
      </c>
      <c r="C7" s="89"/>
      <c r="D7" s="169">
        <f>+VLOOKUP(B7,[1]Flujo!$B:$E,3,0)</f>
        <v>0</v>
      </c>
      <c r="E7" s="169">
        <f>+VLOOKUP(B7,[1]Flujo!$B:$E,4,0)</f>
        <v>0</v>
      </c>
      <c r="F7" s="97"/>
      <c r="G7" s="132">
        <f t="shared" si="0"/>
        <v>0</v>
      </c>
      <c r="H7" s="162">
        <f t="shared" ref="H7:H63" si="1">+IFERROR(G7/E7,1)</f>
        <v>1</v>
      </c>
      <c r="J7" s="98" t="s">
        <v>54</v>
      </c>
      <c r="K7" s="126"/>
      <c r="L7" s="126"/>
    </row>
    <row r="8" spans="2:12" s="98" customFormat="1" ht="21" customHeight="1">
      <c r="B8" s="88" t="s">
        <v>55</v>
      </c>
      <c r="C8" s="89"/>
      <c r="D8" s="169">
        <f>+VLOOKUP(B8,[1]Flujo!$B:$E,3,0)</f>
        <v>5223545</v>
      </c>
      <c r="E8" s="169">
        <f>+VLOOKUP(B8,[1]Flujo!$B:$E,4,0)</f>
        <v>4052259</v>
      </c>
      <c r="F8" s="97"/>
      <c r="G8" s="132">
        <f t="shared" si="0"/>
        <v>1171286</v>
      </c>
      <c r="H8" s="162">
        <f t="shared" si="1"/>
        <v>0.28904519676555718</v>
      </c>
      <c r="J8" s="98" t="s">
        <v>55</v>
      </c>
      <c r="K8" s="126"/>
      <c r="L8" s="126"/>
    </row>
    <row r="9" spans="2:12" s="98" customFormat="1" ht="21" customHeight="1">
      <c r="B9" s="90" t="s">
        <v>292</v>
      </c>
      <c r="C9" s="89"/>
      <c r="D9" s="169">
        <f>+VLOOKUP(B9,[1]Flujo!$B:$E,3,0)</f>
        <v>781695689</v>
      </c>
      <c r="E9" s="169">
        <f>+VLOOKUP(B9,[1]Flujo!$B:$E,4,0)</f>
        <v>739457657</v>
      </c>
      <c r="F9" s="97"/>
      <c r="G9" s="133">
        <f t="shared" si="0"/>
        <v>42238032</v>
      </c>
      <c r="H9" s="164">
        <f t="shared" si="1"/>
        <v>5.7120284846817131E-2</v>
      </c>
      <c r="J9" s="98" t="s">
        <v>292</v>
      </c>
      <c r="K9" s="126"/>
      <c r="L9" s="126"/>
    </row>
    <row r="10" spans="2:12" s="98" customFormat="1" ht="21" customHeight="1">
      <c r="B10" s="88" t="s">
        <v>56</v>
      </c>
      <c r="C10" s="89"/>
      <c r="D10" s="169">
        <f>+VLOOKUP(B10,[1]Flujo!$B:$E,3,0)</f>
        <v>-284511445</v>
      </c>
      <c r="E10" s="169">
        <f>+VLOOKUP(B10,[1]Flujo!$B:$E,4,0)</f>
        <v>-269440205.602</v>
      </c>
      <c r="F10" s="97"/>
      <c r="G10" s="203">
        <f t="shared" si="0"/>
        <v>-15071239</v>
      </c>
      <c r="H10" s="162">
        <f t="shared" si="1"/>
        <v>5.5935375221106677E-2</v>
      </c>
      <c r="J10" s="98" t="s">
        <v>56</v>
      </c>
      <c r="K10" s="126"/>
      <c r="L10" s="126"/>
    </row>
    <row r="11" spans="2:12" s="98" customFormat="1" ht="21" customHeight="1">
      <c r="B11" s="88" t="s">
        <v>57</v>
      </c>
      <c r="C11" s="89"/>
      <c r="D11" s="169">
        <f>+VLOOKUP(B11,[1]Flujo!$B:$E,3,0)</f>
        <v>0</v>
      </c>
      <c r="E11" s="169">
        <f>+VLOOKUP(B11,[1]Flujo!$B:$E,4,0)</f>
        <v>0</v>
      </c>
      <c r="F11" s="97"/>
      <c r="G11" s="132">
        <f t="shared" si="0"/>
        <v>0</v>
      </c>
      <c r="H11" s="162">
        <f t="shared" si="1"/>
        <v>1</v>
      </c>
      <c r="J11" s="98" t="s">
        <v>57</v>
      </c>
      <c r="K11" s="126"/>
      <c r="L11" s="126"/>
    </row>
    <row r="12" spans="2:12" s="98" customFormat="1" ht="21" customHeight="1">
      <c r="B12" s="88" t="s">
        <v>58</v>
      </c>
      <c r="C12" s="91"/>
      <c r="D12" s="169">
        <f>+VLOOKUP(B12,[1]Flujo!$B:$E,3,0)</f>
        <v>-77459935</v>
      </c>
      <c r="E12" s="169">
        <f>+VLOOKUP(B12,[1]Flujo!$B:$E,4,0)</f>
        <v>-80236579</v>
      </c>
      <c r="F12" s="97"/>
      <c r="G12" s="132">
        <f t="shared" si="0"/>
        <v>2776644</v>
      </c>
      <c r="H12" s="162">
        <f t="shared" si="1"/>
        <v>-3.4605712688722687E-2</v>
      </c>
      <c r="J12" s="98" t="s">
        <v>58</v>
      </c>
      <c r="K12" s="126"/>
      <c r="L12" s="126"/>
    </row>
    <row r="13" spans="2:12" s="98" customFormat="1" ht="21" customHeight="1">
      <c r="B13" s="88" t="s">
        <v>59</v>
      </c>
      <c r="C13" s="89"/>
      <c r="D13" s="169">
        <f>+VLOOKUP(B13,[1]Flujo!$B:$E,3,0)</f>
        <v>0</v>
      </c>
      <c r="E13" s="169">
        <f>+VLOOKUP(B13,[1]Flujo!$B:$E,4,0)</f>
        <v>0</v>
      </c>
      <c r="F13" s="97"/>
      <c r="G13" s="203">
        <f>ROUND(+(D13-E13),0)</f>
        <v>0</v>
      </c>
      <c r="H13" s="162">
        <f t="shared" si="1"/>
        <v>1</v>
      </c>
      <c r="J13" s="98" t="s">
        <v>59</v>
      </c>
      <c r="K13" s="126"/>
      <c r="L13" s="126"/>
    </row>
    <row r="14" spans="2:12" s="98" customFormat="1" ht="21" customHeight="1">
      <c r="B14" s="88" t="s">
        <v>60</v>
      </c>
      <c r="C14" s="89"/>
      <c r="D14" s="169">
        <f>+VLOOKUP(B14,[1]Flujo!$B:$E,3,0)</f>
        <v>-57752659</v>
      </c>
      <c r="E14" s="169">
        <f>+VLOOKUP(B14,[1]Flujo!$B:$E,4,0)</f>
        <v>-54501599.357000001</v>
      </c>
      <c r="F14" s="97"/>
      <c r="G14" s="132">
        <f t="shared" si="0"/>
        <v>-3251060</v>
      </c>
      <c r="H14" s="162">
        <f t="shared" si="1"/>
        <v>5.965072655399873E-2</v>
      </c>
      <c r="I14" s="98" t="s">
        <v>224</v>
      </c>
      <c r="J14" s="98" t="s">
        <v>60</v>
      </c>
      <c r="K14" s="126"/>
      <c r="L14" s="126"/>
    </row>
    <row r="15" spans="2:12" s="98" customFormat="1" ht="21" customHeight="1">
      <c r="B15" s="90" t="s">
        <v>137</v>
      </c>
      <c r="C15" s="89"/>
      <c r="D15" s="169">
        <f>+VLOOKUP(B15,[1]Flujo!$B:$E,3,0)</f>
        <v>-419724039</v>
      </c>
      <c r="E15" s="169">
        <f>+VLOOKUP(B15,[1]Flujo!$B:$E,4,0)</f>
        <v>-404178383.95899999</v>
      </c>
      <c r="F15" s="97"/>
      <c r="G15" s="133">
        <f t="shared" si="0"/>
        <v>-15545655</v>
      </c>
      <c r="H15" s="164">
        <f t="shared" si="1"/>
        <v>3.8462361217162365E-2</v>
      </c>
      <c r="J15" s="98" t="s">
        <v>137</v>
      </c>
      <c r="K15" s="126"/>
      <c r="L15" s="126"/>
    </row>
    <row r="16" spans="2:12" s="98" customFormat="1" ht="21" customHeight="1">
      <c r="B16" s="88" t="s">
        <v>61</v>
      </c>
      <c r="C16" s="89"/>
      <c r="D16" s="169">
        <f>+VLOOKUP(B16,[1]Flujo!$B:$E,3,0)</f>
        <v>0</v>
      </c>
      <c r="E16" s="169">
        <f>+VLOOKUP(B16,[1]Flujo!$B:$E,4,0)</f>
        <v>0</v>
      </c>
      <c r="F16" s="97"/>
      <c r="G16" s="132"/>
      <c r="H16" s="162">
        <f t="shared" si="1"/>
        <v>1</v>
      </c>
      <c r="J16" s="98" t="s">
        <v>61</v>
      </c>
      <c r="K16" s="126"/>
      <c r="L16" s="126"/>
    </row>
    <row r="17" spans="2:12" s="98" customFormat="1" ht="21" customHeight="1">
      <c r="B17" s="88" t="s">
        <v>62</v>
      </c>
      <c r="C17" s="89"/>
      <c r="D17" s="169">
        <f>+VLOOKUP(B17,[1]Flujo!$B:$E,3,0)</f>
        <v>0</v>
      </c>
      <c r="E17" s="169">
        <f>+VLOOKUP(B17,[1]Flujo!$B:$E,4,0)</f>
        <v>0</v>
      </c>
      <c r="F17" s="97"/>
      <c r="G17" s="132"/>
      <c r="H17" s="162">
        <f t="shared" si="1"/>
        <v>1</v>
      </c>
      <c r="J17" s="98" t="s">
        <v>62</v>
      </c>
      <c r="K17" s="126"/>
      <c r="L17" s="126"/>
    </row>
    <row r="18" spans="2:12" s="98" customFormat="1" ht="21" customHeight="1">
      <c r="B18" s="88" t="s">
        <v>63</v>
      </c>
      <c r="C18" s="89"/>
      <c r="D18" s="169">
        <f>+VLOOKUP(B18,[1]Flujo!$B:$E,3,0)</f>
        <v>-46004011</v>
      </c>
      <c r="E18" s="169">
        <f>+VLOOKUP(B18,[1]Flujo!$B:$E,4,0)</f>
        <v>-48001819</v>
      </c>
      <c r="F18" s="97"/>
      <c r="G18" s="203">
        <f t="shared" si="0"/>
        <v>1997808</v>
      </c>
      <c r="H18" s="162">
        <f t="shared" si="1"/>
        <v>-4.1619422797290244E-2</v>
      </c>
      <c r="J18" s="98" t="s">
        <v>63</v>
      </c>
      <c r="K18" s="126"/>
      <c r="L18" s="126"/>
    </row>
    <row r="19" spans="2:12" s="98" customFormat="1" ht="21" customHeight="1">
      <c r="B19" s="88" t="s">
        <v>64</v>
      </c>
      <c r="C19" s="89"/>
      <c r="D19" s="169">
        <f>+VLOOKUP(B19,[1]Flujo!$B:$E,3,0)</f>
        <v>6317397</v>
      </c>
      <c r="E19" s="169">
        <f>+VLOOKUP(B19,[1]Flujo!$B:$E,4,0)</f>
        <v>16092060</v>
      </c>
      <c r="F19" s="97"/>
      <c r="G19" s="132">
        <f t="shared" si="0"/>
        <v>-9774663</v>
      </c>
      <c r="H19" s="162">
        <f t="shared" si="1"/>
        <v>-0.60742148612421276</v>
      </c>
      <c r="I19" s="98" t="s">
        <v>228</v>
      </c>
      <c r="J19" s="98" t="s">
        <v>64</v>
      </c>
      <c r="K19" s="126"/>
      <c r="L19" s="126"/>
    </row>
    <row r="20" spans="2:12" s="98" customFormat="1" ht="21" customHeight="1">
      <c r="B20" s="88" t="s">
        <v>248</v>
      </c>
      <c r="C20" s="89"/>
      <c r="D20" s="169">
        <f>+VLOOKUP(B20,[1]Flujo!$B:$E,3,0)</f>
        <v>-29866913</v>
      </c>
      <c r="E20" s="169">
        <f>+VLOOKUP(B20,[1]Flujo!$B:$E,4,0)</f>
        <v>-53505003</v>
      </c>
      <c r="F20" s="97"/>
      <c r="G20" s="203">
        <f t="shared" si="0"/>
        <v>23638090</v>
      </c>
      <c r="H20" s="162">
        <f t="shared" si="1"/>
        <v>-0.4417921441850961</v>
      </c>
      <c r="J20" s="98" t="s">
        <v>248</v>
      </c>
      <c r="K20" s="126"/>
      <c r="L20" s="126"/>
    </row>
    <row r="21" spans="2:12" s="98" customFormat="1" ht="21" customHeight="1" thickBot="1">
      <c r="B21" s="88" t="s">
        <v>82</v>
      </c>
      <c r="C21" s="89"/>
      <c r="D21" s="169">
        <f>+VLOOKUP(B21,[1]Flujo!$B:$E,3,0)</f>
        <v>-10214352</v>
      </c>
      <c r="E21" s="169">
        <f>+VLOOKUP(B21,[1]Flujo!$B:$E,4,0)</f>
        <v>-15670363.040999999</v>
      </c>
      <c r="F21" s="97"/>
      <c r="G21" s="132">
        <f t="shared" si="0"/>
        <v>5456011</v>
      </c>
      <c r="H21" s="162">
        <f t="shared" si="1"/>
        <v>-0.34817387355512258</v>
      </c>
      <c r="J21" s="98" t="s">
        <v>82</v>
      </c>
      <c r="K21" s="126"/>
      <c r="L21" s="126"/>
    </row>
    <row r="22" spans="2:12" s="98" customFormat="1" ht="21" customHeight="1" thickBot="1">
      <c r="B22" s="100" t="s">
        <v>215</v>
      </c>
      <c r="C22" s="101"/>
      <c r="D22" s="171">
        <f>+D9+D15+SUM(D16:D21)</f>
        <v>282203771</v>
      </c>
      <c r="E22" s="171">
        <f>+E9+E15+SUM(E16:E21)</f>
        <v>234194148</v>
      </c>
      <c r="F22" s="97"/>
      <c r="G22" s="154">
        <f>ROUND(+(D22-E22),0)</f>
        <v>48009623</v>
      </c>
      <c r="H22" s="165">
        <f t="shared" si="1"/>
        <v>0.20499924276502418</v>
      </c>
      <c r="K22" s="126"/>
      <c r="L22" s="126"/>
    </row>
    <row r="23" spans="2:12" s="98" customFormat="1" ht="21" customHeight="1">
      <c r="B23" s="99" t="s">
        <v>65</v>
      </c>
      <c r="C23" s="96"/>
      <c r="D23" s="169">
        <f>+VLOOKUP(B23,[1]Flujo!$B$23:$E$48,3,0)</f>
        <v>0</v>
      </c>
      <c r="E23" s="169">
        <f>+VLOOKUP(B23,[1]Flujo!$B$23:$E$48,4,0)</f>
        <v>0</v>
      </c>
      <c r="F23" s="97"/>
      <c r="G23" s="132">
        <f t="shared" si="0"/>
        <v>0</v>
      </c>
      <c r="H23" s="162">
        <f t="shared" si="1"/>
        <v>1</v>
      </c>
      <c r="K23" s="126"/>
      <c r="L23" s="126"/>
    </row>
    <row r="24" spans="2:12" s="98" customFormat="1" ht="21" customHeight="1">
      <c r="B24" s="99" t="s">
        <v>66</v>
      </c>
      <c r="C24" s="96"/>
      <c r="D24" s="169">
        <f>+VLOOKUP(B24,[1]Flujo!$B$23:$E$48,3,0)</f>
        <v>0</v>
      </c>
      <c r="E24" s="169">
        <f>+VLOOKUP(B24,[1]Flujo!$B$23:$E$48,4,0)</f>
        <v>0</v>
      </c>
      <c r="F24" s="97"/>
      <c r="G24" s="132">
        <f t="shared" si="0"/>
        <v>0</v>
      </c>
      <c r="H24" s="162">
        <f t="shared" si="1"/>
        <v>1</v>
      </c>
      <c r="K24" s="126"/>
      <c r="L24" s="126"/>
    </row>
    <row r="25" spans="2:12" s="98" customFormat="1" ht="21" customHeight="1">
      <c r="B25" s="99" t="s">
        <v>67</v>
      </c>
      <c r="C25" s="96"/>
      <c r="D25" s="169">
        <f>+VLOOKUP(B25,[1]Flujo!$B$23:$E$48,3,0)</f>
        <v>0</v>
      </c>
      <c r="E25" s="169">
        <f>+VLOOKUP(B25,[1]Flujo!$B$23:$E$48,4,0)</f>
        <v>0</v>
      </c>
      <c r="F25" s="97"/>
      <c r="G25" s="132">
        <f t="shared" si="0"/>
        <v>0</v>
      </c>
      <c r="H25" s="162">
        <f t="shared" si="1"/>
        <v>1</v>
      </c>
      <c r="K25" s="126"/>
      <c r="L25" s="126"/>
    </row>
    <row r="26" spans="2:12" s="98" customFormat="1" ht="21" customHeight="1">
      <c r="B26" s="99" t="s">
        <v>68</v>
      </c>
      <c r="C26" s="96"/>
      <c r="D26" s="169">
        <f>+VLOOKUP(B26,[1]Flujo!$B$23:$E$48,3,0)</f>
        <v>0</v>
      </c>
      <c r="E26" s="169">
        <f>+VLOOKUP(B26,[1]Flujo!$B$23:$E$48,4,0)</f>
        <v>0</v>
      </c>
      <c r="F26" s="97"/>
      <c r="G26" s="132">
        <f t="shared" si="0"/>
        <v>0</v>
      </c>
      <c r="H26" s="162">
        <f t="shared" si="1"/>
        <v>1</v>
      </c>
      <c r="K26" s="126"/>
      <c r="L26" s="126"/>
    </row>
    <row r="27" spans="2:12" s="98" customFormat="1" ht="21" customHeight="1">
      <c r="B27" s="99" t="s">
        <v>69</v>
      </c>
      <c r="C27" s="96"/>
      <c r="D27" s="169">
        <f>+VLOOKUP(B27,[1]Flujo!$B$23:$E$48,3,0)</f>
        <v>0</v>
      </c>
      <c r="E27" s="169">
        <f>+VLOOKUP(B27,[1]Flujo!$B$23:$E$48,4,0)</f>
        <v>0</v>
      </c>
      <c r="F27" s="97"/>
      <c r="G27" s="132">
        <f t="shared" si="0"/>
        <v>0</v>
      </c>
      <c r="H27" s="162">
        <f t="shared" si="1"/>
        <v>1</v>
      </c>
      <c r="K27" s="126"/>
      <c r="L27" s="126"/>
    </row>
    <row r="28" spans="2:12" s="98" customFormat="1" ht="21" customHeight="1">
      <c r="B28" s="99" t="s">
        <v>70</v>
      </c>
      <c r="C28" s="96"/>
      <c r="D28" s="169">
        <f>+VLOOKUP(B28,[1]Flujo!$B$23:$E$48,3,0)</f>
        <v>0</v>
      </c>
      <c r="E28" s="169">
        <f>+VLOOKUP(B28,[1]Flujo!$B$23:$E$48,4,0)</f>
        <v>0</v>
      </c>
      <c r="F28" s="97"/>
      <c r="G28" s="132">
        <f t="shared" si="0"/>
        <v>0</v>
      </c>
      <c r="H28" s="162">
        <f t="shared" si="1"/>
        <v>1</v>
      </c>
      <c r="K28" s="126"/>
      <c r="L28" s="126"/>
    </row>
    <row r="29" spans="2:12" s="98" customFormat="1" ht="21" customHeight="1">
      <c r="B29" s="99" t="s">
        <v>71</v>
      </c>
      <c r="C29" s="96"/>
      <c r="D29" s="169">
        <f>+VLOOKUP(B29,[1]Flujo!$B$23:$E$48,3,0)</f>
        <v>0</v>
      </c>
      <c r="E29" s="169">
        <f>+VLOOKUP(B29,[1]Flujo!$B$23:$E$48,4,0)</f>
        <v>0</v>
      </c>
      <c r="F29" s="97"/>
      <c r="G29" s="132">
        <f t="shared" si="0"/>
        <v>0</v>
      </c>
      <c r="H29" s="162">
        <f t="shared" si="1"/>
        <v>1</v>
      </c>
      <c r="K29" s="126"/>
      <c r="L29" s="126"/>
    </row>
    <row r="30" spans="2:12" s="98" customFormat="1" ht="21" customHeight="1">
      <c r="B30" s="99" t="s">
        <v>72</v>
      </c>
      <c r="C30" s="96"/>
      <c r="D30" s="169">
        <f>+VLOOKUP(B30,[1]Flujo!$B$23:$E$48,3,0)</f>
        <v>0</v>
      </c>
      <c r="E30" s="169">
        <f>+VLOOKUP(B30,[1]Flujo!$B$23:$E$48,4,0)</f>
        <v>0</v>
      </c>
      <c r="F30" s="97"/>
      <c r="G30" s="132">
        <f t="shared" si="0"/>
        <v>0</v>
      </c>
      <c r="H30" s="162">
        <f t="shared" si="1"/>
        <v>1</v>
      </c>
      <c r="K30" s="126"/>
      <c r="L30" s="126"/>
    </row>
    <row r="31" spans="2:12" s="98" customFormat="1" ht="21" customHeight="1">
      <c r="B31" s="99" t="s">
        <v>201</v>
      </c>
      <c r="C31" s="96"/>
      <c r="D31" s="169">
        <f>+VLOOKUP(B31,[1]Flujo!$B$23:$E$48,3,0)</f>
        <v>5205883</v>
      </c>
      <c r="E31" s="169">
        <f>+VLOOKUP(B31,[1]Flujo!$B$23:$E$48,4,0)</f>
        <v>5001192</v>
      </c>
      <c r="F31" s="97"/>
      <c r="G31" s="132">
        <f t="shared" si="0"/>
        <v>204691</v>
      </c>
      <c r="H31" s="162">
        <f t="shared" si="1"/>
        <v>4.092844265927003E-2</v>
      </c>
      <c r="K31" s="126"/>
      <c r="L31" s="126"/>
    </row>
    <row r="32" spans="2:12" s="98" customFormat="1" ht="21" customHeight="1">
      <c r="B32" s="99" t="s">
        <v>73</v>
      </c>
      <c r="C32" s="96"/>
      <c r="D32" s="169">
        <f>+VLOOKUP(B32,[1]Flujo!$B$23:$E$48,3,0)</f>
        <v>-178039754</v>
      </c>
      <c r="E32" s="169">
        <f>+VLOOKUP(B32,[1]Flujo!$B$23:$E$48,4,0)</f>
        <v>-149645668</v>
      </c>
      <c r="F32" s="97"/>
      <c r="G32" s="132">
        <f t="shared" si="0"/>
        <v>-28394086</v>
      </c>
      <c r="H32" s="162">
        <f t="shared" si="1"/>
        <v>0.18974211802776678</v>
      </c>
      <c r="K32" s="126"/>
      <c r="L32" s="126"/>
    </row>
    <row r="33" spans="2:12" s="98" customFormat="1" ht="21" customHeight="1">
      <c r="B33" s="99" t="s">
        <v>149</v>
      </c>
      <c r="C33" s="96"/>
      <c r="D33" s="169">
        <f>+VLOOKUP(B33,[1]Flujo!$B$23:$E$48,3,0)</f>
        <v>0</v>
      </c>
      <c r="E33" s="169">
        <f>+VLOOKUP(B33,[1]Flujo!$B$23:$E$48,4,0)</f>
        <v>0</v>
      </c>
      <c r="F33" s="97"/>
      <c r="G33" s="132">
        <f t="shared" si="0"/>
        <v>0</v>
      </c>
      <c r="H33" s="162">
        <f t="shared" si="1"/>
        <v>1</v>
      </c>
      <c r="K33" s="126"/>
      <c r="L33" s="126"/>
    </row>
    <row r="34" spans="2:12" s="98" customFormat="1" ht="21" customHeight="1">
      <c r="B34" s="99" t="s">
        <v>74</v>
      </c>
      <c r="C34" s="96"/>
      <c r="D34" s="169">
        <f>+VLOOKUP(B34,[1]Flujo!$B$23:$E$48,3,0)</f>
        <v>-3508080</v>
      </c>
      <c r="E34" s="169">
        <f>+VLOOKUP(B34,[1]Flujo!$B$23:$E$48,4,0)</f>
        <v>-4494138</v>
      </c>
      <c r="F34" s="97"/>
      <c r="G34" s="132">
        <f t="shared" si="0"/>
        <v>986058</v>
      </c>
      <c r="H34" s="162">
        <f t="shared" si="1"/>
        <v>-0.21940981785606051</v>
      </c>
      <c r="K34" s="126"/>
      <c r="L34" s="126"/>
    </row>
    <row r="35" spans="2:12" s="98" customFormat="1" ht="21" customHeight="1">
      <c r="B35" s="99" t="s">
        <v>138</v>
      </c>
      <c r="C35" s="96"/>
      <c r="D35" s="169">
        <f>+VLOOKUP(B35,[1]Flujo!$B$23:$E$48,3,0)</f>
        <v>0</v>
      </c>
      <c r="E35" s="169">
        <f>+VLOOKUP(B35,[1]Flujo!$B$23:$E$48,4,0)</f>
        <v>0</v>
      </c>
      <c r="F35" s="97"/>
      <c r="G35" s="132">
        <f t="shared" si="0"/>
        <v>0</v>
      </c>
      <c r="H35" s="162">
        <f t="shared" si="1"/>
        <v>1</v>
      </c>
      <c r="K35" s="126"/>
      <c r="L35" s="126"/>
    </row>
    <row r="36" spans="2:12" s="98" customFormat="1" ht="21" customHeight="1">
      <c r="B36" s="99" t="s">
        <v>75</v>
      </c>
      <c r="C36" s="96"/>
      <c r="D36" s="169">
        <f>+VLOOKUP(B36,[1]Flujo!$B$23:$E$48,3,0)</f>
        <v>0</v>
      </c>
      <c r="E36" s="169">
        <f>+VLOOKUP(B36,[1]Flujo!$B$23:$E$48,4,0)</f>
        <v>0</v>
      </c>
      <c r="F36" s="97"/>
      <c r="G36" s="132">
        <f t="shared" si="0"/>
        <v>0</v>
      </c>
      <c r="H36" s="162">
        <f t="shared" si="1"/>
        <v>1</v>
      </c>
      <c r="K36" s="126"/>
      <c r="L36" s="126"/>
    </row>
    <row r="37" spans="2:12" s="98" customFormat="1" ht="21" customHeight="1">
      <c r="B37" s="99" t="s">
        <v>76</v>
      </c>
      <c r="C37" s="96"/>
      <c r="D37" s="169">
        <f>+VLOOKUP(B37,[1]Flujo!$B$23:$E$48,3,0)</f>
        <v>0</v>
      </c>
      <c r="E37" s="169">
        <f>+VLOOKUP(B37,[1]Flujo!$B$23:$E$48,4,0)</f>
        <v>0</v>
      </c>
      <c r="F37" s="97"/>
      <c r="G37" s="132">
        <f t="shared" si="0"/>
        <v>0</v>
      </c>
      <c r="H37" s="162">
        <f t="shared" si="1"/>
        <v>1</v>
      </c>
      <c r="K37" s="126"/>
      <c r="L37" s="126"/>
    </row>
    <row r="38" spans="2:12" s="98" customFormat="1" ht="21" customHeight="1">
      <c r="B38" s="99" t="s">
        <v>77</v>
      </c>
      <c r="C38" s="96"/>
      <c r="D38" s="169">
        <f>+VLOOKUP(B38,[1]Flujo!$B$23:$E$48,3,0)</f>
        <v>0</v>
      </c>
      <c r="E38" s="169">
        <f>+VLOOKUP(B38,[1]Flujo!$B$23:$E$48,4,0)</f>
        <v>0</v>
      </c>
      <c r="F38" s="97"/>
      <c r="G38" s="132">
        <f t="shared" si="0"/>
        <v>0</v>
      </c>
      <c r="H38" s="162">
        <f t="shared" si="1"/>
        <v>1</v>
      </c>
      <c r="K38" s="126"/>
      <c r="L38" s="126"/>
    </row>
    <row r="39" spans="2:12" s="98" customFormat="1" ht="21" customHeight="1">
      <c r="B39" s="99" t="s">
        <v>78</v>
      </c>
      <c r="C39" s="96"/>
      <c r="D39" s="169">
        <f>+VLOOKUP(B39,[1]Flujo!$B$23:$E$48,3,0)</f>
        <v>0</v>
      </c>
      <c r="E39" s="169">
        <f>+VLOOKUP(B39,[1]Flujo!$B$23:$E$48,4,0)</f>
        <v>0</v>
      </c>
      <c r="F39" s="97"/>
      <c r="G39" s="132">
        <f t="shared" si="0"/>
        <v>0</v>
      </c>
      <c r="H39" s="162">
        <f t="shared" si="1"/>
        <v>1</v>
      </c>
      <c r="K39" s="126"/>
      <c r="L39" s="126"/>
    </row>
    <row r="40" spans="2:12" s="98" customFormat="1" ht="21" customHeight="1">
      <c r="B40" s="99" t="s">
        <v>79</v>
      </c>
      <c r="C40" s="96"/>
      <c r="D40" s="169">
        <f>+VLOOKUP(B40,[1]Flujo!$B$23:$E$48,3,0)</f>
        <v>0</v>
      </c>
      <c r="E40" s="169">
        <f>+VLOOKUP(B40,[1]Flujo!$B$23:$E$48,4,0)</f>
        <v>0</v>
      </c>
      <c r="F40" s="97"/>
      <c r="G40" s="132">
        <f t="shared" si="0"/>
        <v>0</v>
      </c>
      <c r="H40" s="162">
        <f t="shared" si="1"/>
        <v>1</v>
      </c>
      <c r="K40" s="126"/>
      <c r="L40" s="126"/>
    </row>
    <row r="41" spans="2:12" s="98" customFormat="1" ht="21" customHeight="1">
      <c r="B41" s="99" t="s">
        <v>80</v>
      </c>
      <c r="C41" s="96"/>
      <c r="D41" s="169">
        <f>+VLOOKUP(B41,[1]Flujo!$B$23:$E$48,3,0)</f>
        <v>0</v>
      </c>
      <c r="E41" s="169">
        <f>+VLOOKUP(B41,[1]Flujo!$B$23:$E$48,4,0)</f>
        <v>0</v>
      </c>
      <c r="F41" s="97"/>
      <c r="G41" s="132">
        <f t="shared" si="0"/>
        <v>0</v>
      </c>
      <c r="H41" s="162">
        <f t="shared" si="1"/>
        <v>1</v>
      </c>
      <c r="K41" s="126"/>
      <c r="L41" s="126"/>
    </row>
    <row r="42" spans="2:12" s="98" customFormat="1" ht="21" customHeight="1">
      <c r="B42" s="99" t="s">
        <v>139</v>
      </c>
      <c r="C42" s="96"/>
      <c r="D42" s="169">
        <f>+VLOOKUP(B42,[1]Flujo!$B$23:$E$48,3,0)</f>
        <v>0</v>
      </c>
      <c r="E42" s="169">
        <f>+VLOOKUP(B42,[1]Flujo!$B$23:$E$48,4,0)</f>
        <v>0</v>
      </c>
      <c r="F42" s="97"/>
      <c r="G42" s="132">
        <f t="shared" si="0"/>
        <v>0</v>
      </c>
      <c r="H42" s="162">
        <f t="shared" si="1"/>
        <v>1</v>
      </c>
      <c r="K42" s="126"/>
      <c r="L42" s="126"/>
    </row>
    <row r="43" spans="2:12" s="98" customFormat="1" ht="21" customHeight="1">
      <c r="B43" s="99" t="s">
        <v>62</v>
      </c>
      <c r="C43" s="96"/>
      <c r="D43" s="169">
        <f>+VLOOKUP(B43,[1]Flujo!$B$23:$E$48,3,0)</f>
        <v>0</v>
      </c>
      <c r="E43" s="169">
        <f>+VLOOKUP(B43,[1]Flujo!$B$23:$E$48,4,0)</f>
        <v>0</v>
      </c>
      <c r="F43" s="97"/>
      <c r="G43" s="132">
        <f t="shared" si="0"/>
        <v>0</v>
      </c>
      <c r="H43" s="162">
        <f t="shared" si="1"/>
        <v>1</v>
      </c>
      <c r="K43" s="126"/>
      <c r="L43" s="126"/>
    </row>
    <row r="44" spans="2:12" s="98" customFormat="1" ht="21" customHeight="1">
      <c r="B44" s="99" t="s">
        <v>64</v>
      </c>
      <c r="C44" s="96"/>
      <c r="D44" s="169">
        <f>+VLOOKUP(B44,[1]Flujo!$B$23:$E$48,3,0)</f>
        <v>0</v>
      </c>
      <c r="E44" s="169">
        <f>+VLOOKUP(B44,[1]Flujo!$B$23:$E$48,4,0)</f>
        <v>0</v>
      </c>
      <c r="F44" s="97"/>
      <c r="G44" s="132">
        <f t="shared" si="0"/>
        <v>0</v>
      </c>
      <c r="H44" s="162">
        <f t="shared" si="1"/>
        <v>1</v>
      </c>
      <c r="K44" s="126"/>
      <c r="L44" s="126"/>
    </row>
    <row r="45" spans="2:12" s="98" customFormat="1" ht="21" customHeight="1">
      <c r="B45" s="99" t="s">
        <v>81</v>
      </c>
      <c r="C45" s="96"/>
      <c r="D45" s="169">
        <f>+VLOOKUP(B45,[1]Flujo!$B$23:$E$48,3,0)</f>
        <v>0</v>
      </c>
      <c r="E45" s="169">
        <f>+VLOOKUP(B45,[1]Flujo!$B$23:$E$48,4,0)</f>
        <v>0</v>
      </c>
      <c r="F45" s="97"/>
      <c r="G45" s="132">
        <f t="shared" si="0"/>
        <v>0</v>
      </c>
      <c r="H45" s="162">
        <f t="shared" si="1"/>
        <v>1</v>
      </c>
      <c r="K45" s="126"/>
      <c r="L45" s="126"/>
    </row>
    <row r="46" spans="2:12" s="98" customFormat="1" ht="21" customHeight="1" thickBot="1">
      <c r="B46" s="99" t="s">
        <v>82</v>
      </c>
      <c r="C46" s="96"/>
      <c r="D46" s="169">
        <f>+VLOOKUP(B46,[1]Flujo!$B$23:$E$48,3,0)</f>
        <v>0</v>
      </c>
      <c r="E46" s="169">
        <f>+VLOOKUP(B46,[1]Flujo!$B$23:$E$48,4,0)</f>
        <v>-861870</v>
      </c>
      <c r="F46" s="97"/>
      <c r="G46" s="132">
        <f t="shared" si="0"/>
        <v>861870</v>
      </c>
      <c r="H46" s="162">
        <f t="shared" si="1"/>
        <v>-1</v>
      </c>
      <c r="K46" s="126"/>
      <c r="L46" s="126"/>
    </row>
    <row r="47" spans="2:12" s="98" customFormat="1" ht="21" customHeight="1" thickBot="1">
      <c r="B47" s="100" t="s">
        <v>140</v>
      </c>
      <c r="C47" s="101"/>
      <c r="D47" s="171">
        <f>SUM(D23:D46)</f>
        <v>-176341951</v>
      </c>
      <c r="E47" s="171">
        <f>SUM(E23:E46)</f>
        <v>-150000484</v>
      </c>
      <c r="F47" s="97"/>
      <c r="G47" s="154">
        <f t="shared" si="0"/>
        <v>-26341467</v>
      </c>
      <c r="H47" s="165">
        <f t="shared" si="1"/>
        <v>0.17560921336760488</v>
      </c>
      <c r="I47" s="199">
        <f>+D47-E47</f>
        <v>-26341467</v>
      </c>
      <c r="J47" s="98">
        <v>39575081</v>
      </c>
      <c r="K47" s="126"/>
      <c r="L47" s="126"/>
    </row>
    <row r="48" spans="2:12" s="98" customFormat="1" ht="21" customHeight="1">
      <c r="B48" s="99" t="s">
        <v>83</v>
      </c>
      <c r="C48" s="96"/>
      <c r="D48" s="169">
        <f>+VLOOKUP(B48,[1]Flujo!$B$48:$E$72,3,0)</f>
        <v>0</v>
      </c>
      <c r="E48" s="169">
        <f>+VLOOKUP(B48,[1]Flujo!$B$48:$E$72,4,0)</f>
        <v>0</v>
      </c>
      <c r="F48" s="97"/>
      <c r="G48" s="132">
        <f t="shared" si="0"/>
        <v>0</v>
      </c>
      <c r="H48" s="162">
        <f t="shared" si="1"/>
        <v>1</v>
      </c>
      <c r="K48" s="126"/>
      <c r="L48" s="126"/>
    </row>
    <row r="49" spans="2:12" s="98" customFormat="1" ht="21" customHeight="1">
      <c r="B49" s="99" t="s">
        <v>84</v>
      </c>
      <c r="C49" s="96"/>
      <c r="D49" s="169">
        <f>+VLOOKUP(B49,[1]Flujo!$B$48:$E$72,3,0)</f>
        <v>0</v>
      </c>
      <c r="E49" s="169">
        <f>+VLOOKUP(B49,[1]Flujo!$B$48:$E$72,4,0)</f>
        <v>0</v>
      </c>
      <c r="F49" s="97"/>
      <c r="G49" s="132">
        <f t="shared" si="0"/>
        <v>0</v>
      </c>
      <c r="H49" s="162">
        <f t="shared" si="1"/>
        <v>1</v>
      </c>
      <c r="K49" s="126"/>
      <c r="L49" s="126"/>
    </row>
    <row r="50" spans="2:12" s="98" customFormat="1" ht="21" customHeight="1">
      <c r="B50" s="99" t="s">
        <v>85</v>
      </c>
      <c r="C50" s="96"/>
      <c r="D50" s="169">
        <f>+VLOOKUP(B50,[1]Flujo!$B$48:$E$72,3,0)</f>
        <v>0</v>
      </c>
      <c r="E50" s="169">
        <f>+VLOOKUP(B50,[1]Flujo!$B$48:$E$72,4,0)</f>
        <v>0</v>
      </c>
      <c r="F50" s="97"/>
      <c r="G50" s="132">
        <f t="shared" si="0"/>
        <v>0</v>
      </c>
      <c r="H50" s="162">
        <f t="shared" si="1"/>
        <v>1</v>
      </c>
      <c r="K50" s="126"/>
      <c r="L50" s="126"/>
    </row>
    <row r="51" spans="2:12" s="98" customFormat="1" ht="21" customHeight="1">
      <c r="B51" s="99" t="s">
        <v>86</v>
      </c>
      <c r="C51" s="96"/>
      <c r="D51" s="169">
        <f>+VLOOKUP(B51,[1]Flujo!$B$48:$E$72,3,0)</f>
        <v>0</v>
      </c>
      <c r="E51" s="169">
        <f>+VLOOKUP(B51,[1]Flujo!$B$48:$E$72,4,0)</f>
        <v>0</v>
      </c>
      <c r="F51" s="97"/>
      <c r="G51" s="132">
        <f t="shared" si="0"/>
        <v>0</v>
      </c>
      <c r="H51" s="162">
        <f t="shared" si="1"/>
        <v>1</v>
      </c>
      <c r="K51" s="126"/>
      <c r="L51" s="126"/>
    </row>
    <row r="52" spans="2:12" s="98" customFormat="1" ht="21" customHeight="1">
      <c r="B52" s="99" t="s">
        <v>87</v>
      </c>
      <c r="C52" s="96"/>
      <c r="D52" s="169">
        <f>+VLOOKUP(B52,[1]Flujo!$B$48:$E$72,3,0)</f>
        <v>143397310</v>
      </c>
      <c r="E52" s="169">
        <f>+VLOOKUP(B52,[1]Flujo!$B$48:$E$72,4,0)</f>
        <v>11415588</v>
      </c>
      <c r="F52" s="97"/>
      <c r="G52" s="132">
        <f t="shared" si="0"/>
        <v>131981722</v>
      </c>
      <c r="H52" s="162">
        <f t="shared" si="1"/>
        <v>11.561535157015127</v>
      </c>
      <c r="J52" s="98">
        <v>39602985</v>
      </c>
      <c r="K52" s="126" t="s">
        <v>225</v>
      </c>
      <c r="L52" s="126"/>
    </row>
    <row r="53" spans="2:12" s="98" customFormat="1" ht="21" customHeight="1">
      <c r="B53" s="99" t="s">
        <v>88</v>
      </c>
      <c r="C53" s="96"/>
      <c r="D53" s="169">
        <f>+VLOOKUP(B53,[1]Flujo!$B$48:$E$72,3,0)</f>
        <v>0</v>
      </c>
      <c r="E53" s="169">
        <f>+VLOOKUP(B53,[1]Flujo!$B$48:$E$72,4,0)</f>
        <v>0</v>
      </c>
      <c r="F53" s="97"/>
      <c r="G53" s="132">
        <f t="shared" si="0"/>
        <v>0</v>
      </c>
      <c r="H53" s="162">
        <f t="shared" si="1"/>
        <v>1</v>
      </c>
      <c r="J53" s="98">
        <f>+J47-J52</f>
        <v>-27904</v>
      </c>
      <c r="K53" s="126"/>
      <c r="L53" s="126"/>
    </row>
    <row r="54" spans="2:12" s="98" customFormat="1" ht="21" customHeight="1">
      <c r="B54" s="124" t="s">
        <v>216</v>
      </c>
      <c r="C54" s="96"/>
      <c r="D54" s="170">
        <f>+SUM(D48:D53)</f>
        <v>143397310</v>
      </c>
      <c r="E54" s="170">
        <f>+SUM(E48:E53)</f>
        <v>11415588</v>
      </c>
      <c r="F54" s="97"/>
      <c r="G54" s="133">
        <f t="shared" si="0"/>
        <v>131981722</v>
      </c>
      <c r="H54" s="166">
        <f t="shared" si="1"/>
        <v>11.561535157015127</v>
      </c>
      <c r="J54" s="197">
        <v>3182087735</v>
      </c>
      <c r="K54" s="198"/>
      <c r="L54" s="126"/>
    </row>
    <row r="55" spans="2:12" s="98" customFormat="1" ht="21" customHeight="1">
      <c r="B55" s="99" t="s">
        <v>89</v>
      </c>
      <c r="C55" s="96"/>
      <c r="D55" s="169">
        <f>+VLOOKUP(B55,[1]Flujo!$B$48:$E$72,3,0)</f>
        <v>0</v>
      </c>
      <c r="E55" s="169">
        <f>+VLOOKUP(B55,[1]Flujo!$B$48:$E$72,4,0)</f>
        <v>0</v>
      </c>
      <c r="F55" s="97"/>
      <c r="G55" s="132">
        <f t="shared" si="0"/>
        <v>0</v>
      </c>
      <c r="H55" s="162">
        <f t="shared" si="1"/>
        <v>1</v>
      </c>
      <c r="J55" s="197"/>
      <c r="K55" s="198"/>
      <c r="L55" s="126"/>
    </row>
    <row r="56" spans="2:12" s="98" customFormat="1" ht="21" customHeight="1">
      <c r="B56" s="99" t="s">
        <v>141</v>
      </c>
      <c r="C56" s="96"/>
      <c r="D56" s="169">
        <f>+VLOOKUP(B56,[1]Flujo!$B$48:$E$72,3,0)</f>
        <v>-157958642</v>
      </c>
      <c r="E56" s="169">
        <f>+VLOOKUP(B56,[1]Flujo!$B$48:$E$72,4,0)</f>
        <v>-75176411</v>
      </c>
      <c r="F56" s="97"/>
      <c r="G56" s="132">
        <f t="shared" si="0"/>
        <v>-82782231</v>
      </c>
      <c r="H56" s="163">
        <f t="shared" si="1"/>
        <v>1.1011729596934337</v>
      </c>
      <c r="J56" s="197">
        <v>5298882643</v>
      </c>
      <c r="K56" s="198" t="s">
        <v>226</v>
      </c>
      <c r="L56" s="126"/>
    </row>
    <row r="57" spans="2:12" s="98" customFormat="1" ht="21" customHeight="1">
      <c r="B57" s="99" t="s">
        <v>90</v>
      </c>
      <c r="C57" s="96"/>
      <c r="D57" s="169">
        <f>+VLOOKUP(B57,[1]Flujo!$B$48:$E$72,3,0)</f>
        <v>0</v>
      </c>
      <c r="E57" s="169">
        <f>+VLOOKUP(B57,[1]Flujo!$B$48:$E$72,4,0)</f>
        <v>0</v>
      </c>
      <c r="F57" s="97"/>
      <c r="G57" s="132">
        <f t="shared" si="0"/>
        <v>0</v>
      </c>
      <c r="H57" s="163">
        <f t="shared" si="1"/>
        <v>1</v>
      </c>
      <c r="K57" s="126"/>
      <c r="L57" s="126"/>
    </row>
    <row r="58" spans="2:12" s="98" customFormat="1" ht="21" customHeight="1">
      <c r="B58" s="99" t="s">
        <v>91</v>
      </c>
      <c r="C58" s="96"/>
      <c r="D58" s="169">
        <f>+VLOOKUP(B58,[1]Flujo!$B$48:$E$72,3,0)</f>
        <v>0</v>
      </c>
      <c r="E58" s="169">
        <f>+VLOOKUP(B58,[1]Flujo!$B$48:$E$72,4,0)</f>
        <v>0</v>
      </c>
      <c r="F58" s="97"/>
      <c r="G58" s="132">
        <f t="shared" si="0"/>
        <v>0</v>
      </c>
      <c r="H58" s="163">
        <f t="shared" si="1"/>
        <v>1</v>
      </c>
      <c r="K58" s="126"/>
      <c r="L58" s="126"/>
    </row>
    <row r="59" spans="2:12" s="98" customFormat="1" ht="21" customHeight="1">
      <c r="B59" s="99" t="s">
        <v>76</v>
      </c>
      <c r="C59" s="96"/>
      <c r="D59" s="169">
        <f>+VLOOKUP(B59,[1]Flujo!$B$48:$E$72,3,0)</f>
        <v>0</v>
      </c>
      <c r="E59" s="169">
        <f>+VLOOKUP(B59,[1]Flujo!$B$48:$E$72,4,0)</f>
        <v>0</v>
      </c>
      <c r="F59" s="97"/>
      <c r="G59" s="132">
        <f t="shared" si="0"/>
        <v>0</v>
      </c>
      <c r="H59" s="163">
        <f t="shared" si="1"/>
        <v>1</v>
      </c>
      <c r="K59" s="126"/>
      <c r="L59" s="126"/>
    </row>
    <row r="60" spans="2:12" s="98" customFormat="1" ht="21" customHeight="1">
      <c r="B60" s="129" t="s">
        <v>61</v>
      </c>
      <c r="C60" s="96"/>
      <c r="D60" s="169">
        <f>+VLOOKUP(B60,[1]Flujo!$B$48:$E$72,3,0)</f>
        <v>-90100417</v>
      </c>
      <c r="E60" s="169">
        <f>+VLOOKUP(B60,[1]Flujo!$B$48:$E$72,4,0)</f>
        <v>-90611501</v>
      </c>
      <c r="F60" s="97"/>
      <c r="G60" s="132">
        <f t="shared" si="0"/>
        <v>511084</v>
      </c>
      <c r="H60" s="163">
        <f t="shared" si="1"/>
        <v>-5.6403877472463457E-3</v>
      </c>
      <c r="J60" s="98">
        <v>9827327500</v>
      </c>
      <c r="K60" s="198" t="s">
        <v>227</v>
      </c>
      <c r="L60" s="126"/>
    </row>
    <row r="61" spans="2:12" s="98" customFormat="1" ht="21" customHeight="1">
      <c r="B61" s="99" t="s">
        <v>63</v>
      </c>
      <c r="C61" s="96"/>
      <c r="D61" s="169">
        <f>+VLOOKUP(B61,[1]Flujo!$B$48:$E$72,3,0)</f>
        <v>0</v>
      </c>
      <c r="E61" s="169">
        <f>+VLOOKUP(B61,[1]Flujo!$B$48:$E$72,4,0)</f>
        <v>0</v>
      </c>
      <c r="F61" s="97"/>
      <c r="G61" s="132">
        <f t="shared" si="0"/>
        <v>0</v>
      </c>
      <c r="H61" s="162">
        <f t="shared" si="1"/>
        <v>1</v>
      </c>
      <c r="K61" s="126"/>
      <c r="L61" s="126"/>
    </row>
    <row r="62" spans="2:12" s="98" customFormat="1" ht="21" customHeight="1">
      <c r="B62" s="99" t="s">
        <v>81</v>
      </c>
      <c r="C62" s="96"/>
      <c r="D62" s="169">
        <f>+VLOOKUP(B62,[1]Flujo!$B$48:$E$72,3,0)</f>
        <v>0</v>
      </c>
      <c r="E62" s="169">
        <f>+VLOOKUP(B62,[1]Flujo!$B$48:$E$72,4,0)</f>
        <v>0</v>
      </c>
      <c r="F62" s="97"/>
      <c r="G62" s="132">
        <f t="shared" ref="G62:G70" si="2">ROUND(+(D62-E62),0)</f>
        <v>0</v>
      </c>
      <c r="H62" s="162">
        <f t="shared" si="1"/>
        <v>1</v>
      </c>
      <c r="K62" s="126"/>
      <c r="L62" s="126"/>
    </row>
    <row r="63" spans="2:12" s="98" customFormat="1" ht="21" customHeight="1" thickBot="1">
      <c r="B63" s="99" t="s">
        <v>82</v>
      </c>
      <c r="C63" s="96"/>
      <c r="D63" s="169">
        <f>+VLOOKUP(B63,[1]Flujo!$B$48:$E$72,3,0)</f>
        <v>-1598321</v>
      </c>
      <c r="E63" s="169">
        <f>+VLOOKUP(B63,[1]Flujo!$B$48:$E$72,4,0)</f>
        <v>0</v>
      </c>
      <c r="F63" s="97"/>
      <c r="G63" s="132">
        <f t="shared" si="2"/>
        <v>-1598321</v>
      </c>
      <c r="H63" s="162">
        <f t="shared" si="1"/>
        <v>1</v>
      </c>
      <c r="J63" s="197">
        <v>3887567500</v>
      </c>
      <c r="K63" s="198">
        <v>3634842500</v>
      </c>
    </row>
    <row r="64" spans="2:12" s="98" customFormat="1" ht="21" customHeight="1" thickBot="1">
      <c r="B64" s="100" t="s">
        <v>293</v>
      </c>
      <c r="C64" s="102"/>
      <c r="D64" s="171">
        <f>+SUM(D54:D63)</f>
        <v>-106260070</v>
      </c>
      <c r="E64" s="171">
        <f>+SUM(E54:E63)</f>
        <v>-154372324</v>
      </c>
      <c r="F64" s="97"/>
      <c r="G64" s="154">
        <f t="shared" si="2"/>
        <v>48112254</v>
      </c>
      <c r="H64" s="165">
        <f t="shared" ref="H64:H70" si="3">+IFERROR(G64/E64,1)</f>
        <v>-0.31166372801383752</v>
      </c>
      <c r="J64" s="197">
        <v>5939600000</v>
      </c>
      <c r="K64" s="198"/>
      <c r="L64" s="126"/>
    </row>
    <row r="65" spans="2:12" s="98" customFormat="1" ht="21" customHeight="1">
      <c r="B65" s="100" t="s">
        <v>217</v>
      </c>
      <c r="C65" s="102"/>
      <c r="D65" s="172">
        <f>+D64+D47+D22</f>
        <v>-398250</v>
      </c>
      <c r="E65" s="172">
        <f>+E64+E47+E22</f>
        <v>-70178660</v>
      </c>
      <c r="F65" s="97"/>
      <c r="G65" s="132">
        <f t="shared" si="2"/>
        <v>69780410</v>
      </c>
      <c r="H65" s="162">
        <f t="shared" si="3"/>
        <v>-0.99432519800178576</v>
      </c>
      <c r="K65" s="126"/>
      <c r="L65" s="126"/>
    </row>
    <row r="66" spans="2:12" s="98" customFormat="1" ht="21" customHeight="1">
      <c r="B66" s="103" t="s">
        <v>249</v>
      </c>
      <c r="C66" s="101"/>
      <c r="D66" s="173"/>
      <c r="E66" s="169"/>
      <c r="F66" s="97"/>
      <c r="G66" s="132">
        <f t="shared" si="2"/>
        <v>0</v>
      </c>
      <c r="H66" s="162">
        <f t="shared" si="3"/>
        <v>1</v>
      </c>
      <c r="K66" s="126"/>
      <c r="L66" s="126"/>
    </row>
    <row r="67" spans="2:12" s="98" customFormat="1" ht="21" customHeight="1" thickBot="1">
      <c r="B67" s="104" t="s">
        <v>92</v>
      </c>
      <c r="C67" s="101"/>
      <c r="D67" s="169">
        <f>+VLOOKUP(B67,[1]Flujo!$B$48:$E$72,3,0)</f>
        <v>0</v>
      </c>
      <c r="E67" s="169">
        <f>+VLOOKUP(B67,[1]Flujo!$B$48:$E$72,4,0)</f>
        <v>0</v>
      </c>
      <c r="F67" s="97"/>
      <c r="G67" s="132">
        <f t="shared" si="2"/>
        <v>0</v>
      </c>
      <c r="H67" s="162">
        <f t="shared" si="3"/>
        <v>1</v>
      </c>
      <c r="K67" s="126"/>
      <c r="L67" s="126"/>
    </row>
    <row r="68" spans="2:12" s="98" customFormat="1" ht="21" customHeight="1" thickBot="1">
      <c r="B68" s="100" t="s">
        <v>142</v>
      </c>
      <c r="C68" s="102"/>
      <c r="D68" s="169">
        <f>+VLOOKUP(B68,[1]Flujo!$B$48:$E$72,3,0)</f>
        <v>-398250</v>
      </c>
      <c r="E68" s="169">
        <f>+VLOOKUP(B68,[1]Flujo!$B$48:$E$72,4,0)</f>
        <v>-70178660</v>
      </c>
      <c r="F68" s="97"/>
      <c r="G68" s="154">
        <f t="shared" si="2"/>
        <v>69780410</v>
      </c>
      <c r="H68" s="165">
        <f t="shared" si="3"/>
        <v>-0.99432519800178576</v>
      </c>
      <c r="K68" s="126">
        <f>+J63+J64-K63</f>
        <v>6192325000</v>
      </c>
      <c r="L68" s="126"/>
    </row>
    <row r="69" spans="2:12" s="98" customFormat="1" ht="21" customHeight="1" thickBot="1">
      <c r="B69" s="99" t="s">
        <v>143</v>
      </c>
      <c r="C69" s="96"/>
      <c r="D69" s="169">
        <f>+VLOOKUP(B69,[1]Flujo!$B$48:$E$72,3,0)</f>
        <v>109156681</v>
      </c>
      <c r="E69" s="169">
        <f>+VLOOKUP(B69,[1]Flujo!$B$48:$E$72,4,0)</f>
        <v>179335341</v>
      </c>
      <c r="F69" s="105"/>
      <c r="G69" s="132">
        <f t="shared" si="2"/>
        <v>-70178660</v>
      </c>
      <c r="H69" s="162">
        <f t="shared" si="3"/>
        <v>-0.39132643687894181</v>
      </c>
      <c r="J69" s="98">
        <f>+J64+J63-J60</f>
        <v>-160000</v>
      </c>
      <c r="K69" s="126"/>
      <c r="L69" s="126"/>
    </row>
    <row r="70" spans="2:12" s="98" customFormat="1" ht="21" customHeight="1" thickBot="1">
      <c r="B70" s="106" t="s">
        <v>144</v>
      </c>
      <c r="C70" s="107">
        <v>7</v>
      </c>
      <c r="D70" s="169">
        <f>+VLOOKUP(B70,[1]Flujo!$B:$E,3,0)</f>
        <v>108758431</v>
      </c>
      <c r="E70" s="169">
        <f>+VLOOKUP(B70,[1]Flujo!$B:$E,4,0)</f>
        <v>109156681</v>
      </c>
      <c r="G70" s="154">
        <f t="shared" si="2"/>
        <v>-398250</v>
      </c>
      <c r="H70" s="165">
        <f t="shared" si="3"/>
        <v>-3.648425330924087E-3</v>
      </c>
      <c r="K70" s="126"/>
      <c r="L70" s="126"/>
    </row>
    <row r="71" spans="2:12">
      <c r="D71" s="148"/>
      <c r="E71" s="266"/>
    </row>
    <row r="72" spans="2:12">
      <c r="D72" s="174">
        <f>+D70-Balance!D6</f>
        <v>0</v>
      </c>
      <c r="E72" s="174">
        <f>+E70-Balance!E6</f>
        <v>0</v>
      </c>
    </row>
  </sheetData>
  <autoFilter ref="B2:E70" xr:uid="{00000000-0009-0000-0000-00000B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92D050"/>
  </sheetPr>
  <dimension ref="B2:E28"/>
  <sheetViews>
    <sheetView showGridLines="0" zoomScale="70" zoomScaleNormal="70" workbookViewId="0">
      <selection activeCell="I32" sqref="I32"/>
    </sheetView>
  </sheetViews>
  <sheetFormatPr baseColWidth="10" defaultRowHeight="13.2"/>
  <sheetData>
    <row r="2" spans="2:2">
      <c r="B2" s="119" t="s">
        <v>196</v>
      </c>
    </row>
    <row r="28" spans="2:5">
      <c r="B28">
        <v>299.5</v>
      </c>
      <c r="E28">
        <v>284.60000000000002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topLeftCell="A17" workbookViewId="0">
      <selection activeCell="A47" sqref="A47:XFD1048576"/>
    </sheetView>
  </sheetViews>
  <sheetFormatPr baseColWidth="10" defaultColWidth="0" defaultRowHeight="15" customHeight="1" zeroHeight="1"/>
  <cols>
    <col min="1" max="1" width="4" style="6" customWidth="1"/>
    <col min="2" max="2" width="44.6640625" style="6" bestFit="1" customWidth="1"/>
    <col min="3" max="4" width="12.5546875" style="6" customWidth="1"/>
    <col min="5" max="5" width="15.5546875" style="6" customWidth="1"/>
    <col min="6" max="6" width="13.44140625" style="6" bestFit="1" customWidth="1"/>
    <col min="7" max="8" width="11.44140625" style="6" customWidth="1"/>
    <col min="9" max="11" width="11.44140625" style="6" hidden="1"/>
    <col min="12" max="13" width="0" style="6" hidden="1"/>
    <col min="14" max="16384" width="11.44140625" style="6" hidden="1"/>
  </cols>
  <sheetData>
    <row r="1" spans="1:8" ht="15" customHeight="1">
      <c r="A1" s="12" t="s">
        <v>121</v>
      </c>
    </row>
    <row r="2" spans="1:8" ht="15" customHeight="1"/>
    <row r="3" spans="1:8" ht="15" customHeight="1" thickBot="1">
      <c r="B3" s="1" t="s">
        <v>154</v>
      </c>
      <c r="C3" s="176" t="s">
        <v>294</v>
      </c>
      <c r="D3" s="176" t="s">
        <v>295</v>
      </c>
      <c r="E3" s="120" t="s">
        <v>190</v>
      </c>
      <c r="F3" s="175" t="s">
        <v>254</v>
      </c>
    </row>
    <row r="4" spans="1:8" ht="15" customHeight="1">
      <c r="B4" s="2" t="s">
        <v>177</v>
      </c>
      <c r="C4" s="177">
        <v>662701294</v>
      </c>
      <c r="D4" s="177">
        <v>640855854</v>
      </c>
      <c r="E4" s="8">
        <v>3.4000000000000002E-2</v>
      </c>
      <c r="F4" s="7">
        <v>21845440</v>
      </c>
      <c r="G4" s="17"/>
      <c r="H4" s="20"/>
    </row>
    <row r="5" spans="1:8" s="13" customFormat="1" ht="15" customHeight="1">
      <c r="B5" s="3" t="s">
        <v>178</v>
      </c>
      <c r="C5" s="270">
        <v>-337264876</v>
      </c>
      <c r="D5" s="270">
        <v>-322567911</v>
      </c>
      <c r="E5" s="8">
        <v>4.5999999999999999E-2</v>
      </c>
      <c r="F5" s="7">
        <v>-14696965</v>
      </c>
      <c r="G5" s="17"/>
      <c r="H5" s="20"/>
    </row>
    <row r="6" spans="1:8" s="13" customFormat="1" ht="15" customHeight="1">
      <c r="B6" s="4" t="s">
        <v>105</v>
      </c>
      <c r="C6" s="178">
        <v>325436418</v>
      </c>
      <c r="D6" s="178">
        <v>318287943</v>
      </c>
      <c r="E6" s="10">
        <v>2.1999999999999999E-2</v>
      </c>
      <c r="F6" s="9">
        <v>7148475</v>
      </c>
      <c r="G6" s="25"/>
      <c r="H6" s="20"/>
    </row>
    <row r="7" spans="1:8" s="13" customFormat="1" ht="15" customHeight="1">
      <c r="B7" s="3" t="s">
        <v>6</v>
      </c>
      <c r="C7" s="177">
        <v>-82220591</v>
      </c>
      <c r="D7" s="177">
        <v>-77689350</v>
      </c>
      <c r="E7" s="8">
        <v>5.8000000000000003E-2</v>
      </c>
      <c r="F7" s="7">
        <v>-4531241</v>
      </c>
      <c r="G7" s="17"/>
      <c r="H7" s="20"/>
    </row>
    <row r="8" spans="1:8" s="13" customFormat="1" ht="15" customHeight="1">
      <c r="B8" s="4" t="s">
        <v>179</v>
      </c>
      <c r="C8" s="178">
        <v>243215827</v>
      </c>
      <c r="D8" s="178">
        <v>240598593</v>
      </c>
      <c r="E8" s="10">
        <v>1.0999999999999999E-2</v>
      </c>
      <c r="F8" s="9">
        <v>2617234</v>
      </c>
      <c r="G8" s="25"/>
      <c r="H8" s="20"/>
    </row>
    <row r="9" spans="1:8" s="13" customFormat="1" ht="14.4" customHeight="1">
      <c r="B9" s="3" t="s">
        <v>180</v>
      </c>
      <c r="C9" s="177">
        <v>310125</v>
      </c>
      <c r="D9" s="177">
        <v>3336545</v>
      </c>
      <c r="E9" s="8">
        <v>-0.90700000000000003</v>
      </c>
      <c r="F9" s="7">
        <v>-3026420</v>
      </c>
      <c r="G9" s="17"/>
      <c r="H9" s="20"/>
    </row>
    <row r="10" spans="1:8" s="13" customFormat="1" ht="13.95" hidden="1" customHeight="1">
      <c r="B10" s="3" t="s">
        <v>223</v>
      </c>
      <c r="C10" s="270"/>
      <c r="D10" s="270">
        <v>0</v>
      </c>
      <c r="E10" s="188">
        <v>0</v>
      </c>
      <c r="F10" s="7">
        <v>0</v>
      </c>
      <c r="G10" s="17"/>
      <c r="H10" s="20"/>
    </row>
    <row r="11" spans="1:8" s="13" customFormat="1" ht="15" customHeight="1">
      <c r="B11" s="3" t="s">
        <v>181</v>
      </c>
      <c r="C11" s="177">
        <v>-84877580</v>
      </c>
      <c r="D11" s="177">
        <v>-76633585</v>
      </c>
      <c r="E11" s="8">
        <v>0.108</v>
      </c>
      <c r="F11" s="7">
        <v>-8243995</v>
      </c>
      <c r="G11" s="17"/>
      <c r="H11" s="20"/>
    </row>
    <row r="12" spans="1:8" s="13" customFormat="1" ht="15" customHeight="1">
      <c r="B12" s="3" t="s">
        <v>145</v>
      </c>
      <c r="C12" s="177">
        <v>-34306718</v>
      </c>
      <c r="D12" s="177">
        <v>-33909237</v>
      </c>
      <c r="E12" s="8">
        <v>1.2E-2</v>
      </c>
      <c r="F12" s="7">
        <v>-397481</v>
      </c>
      <c r="G12" s="17"/>
      <c r="H12" s="20"/>
    </row>
    <row r="13" spans="1:8" s="13" customFormat="1" ht="15" customHeight="1">
      <c r="B13" s="3" t="s">
        <v>252</v>
      </c>
      <c r="C13" s="177">
        <v>-2008</v>
      </c>
      <c r="D13" s="177">
        <v>-1895</v>
      </c>
      <c r="E13" s="8">
        <v>0.06</v>
      </c>
      <c r="F13" s="7">
        <v>-113</v>
      </c>
      <c r="G13" s="17"/>
      <c r="H13" s="20"/>
    </row>
    <row r="14" spans="1:8" s="13" customFormat="1" ht="15" customHeight="1">
      <c r="B14" s="4" t="s">
        <v>182</v>
      </c>
      <c r="C14" s="178">
        <v>124339646</v>
      </c>
      <c r="D14" s="269">
        <v>133390421</v>
      </c>
      <c r="E14" s="10">
        <v>-6.8000000000000005E-2</v>
      </c>
      <c r="F14" s="9">
        <v>-9050775</v>
      </c>
      <c r="G14" s="25"/>
      <c r="H14" s="20"/>
    </row>
    <row r="15" spans="1:8" s="13" customFormat="1" ht="15" customHeight="1">
      <c r="C15" s="218">
        <v>0</v>
      </c>
      <c r="D15" s="218">
        <v>0</v>
      </c>
    </row>
    <row r="16" spans="1:8" ht="15" customHeight="1">
      <c r="C16" s="190">
        <v>0</v>
      </c>
      <c r="D16" s="190">
        <v>0</v>
      </c>
    </row>
    <row r="17" spans="1:8" s="217" customFormat="1" ht="15" customHeight="1">
      <c r="A17" s="12" t="s">
        <v>122</v>
      </c>
      <c r="B17" s="14"/>
      <c r="C17" s="15"/>
      <c r="D17" s="15"/>
      <c r="E17" s="219"/>
      <c r="F17" s="220"/>
      <c r="G17" s="15"/>
      <c r="H17" s="13"/>
    </row>
    <row r="18" spans="1:8" s="217" customFormat="1" ht="15" customHeight="1" thickBot="1">
      <c r="B18" s="6"/>
      <c r="C18" s="282" t="s">
        <v>294</v>
      </c>
      <c r="D18" s="282"/>
      <c r="E18" s="6"/>
      <c r="F18" s="283" t="s">
        <v>295</v>
      </c>
      <c r="G18" s="283"/>
      <c r="H18" s="6"/>
    </row>
    <row r="19" spans="1:8" s="217" customFormat="1" ht="15" customHeight="1">
      <c r="B19" s="6"/>
      <c r="C19" s="221" t="s">
        <v>110</v>
      </c>
      <c r="D19" s="284" t="s">
        <v>111</v>
      </c>
      <c r="E19" s="6"/>
      <c r="F19" s="16" t="s">
        <v>110</v>
      </c>
      <c r="G19" s="286" t="s">
        <v>111</v>
      </c>
      <c r="H19" s="6"/>
    </row>
    <row r="20" spans="1:8" s="217" customFormat="1" ht="15" customHeight="1" thickBot="1">
      <c r="B20" s="6"/>
      <c r="C20" s="176" t="s">
        <v>206</v>
      </c>
      <c r="D20" s="285"/>
      <c r="E20" s="6"/>
      <c r="F20" s="5" t="s">
        <v>5</v>
      </c>
      <c r="G20" s="287"/>
      <c r="H20" s="6"/>
    </row>
    <row r="21" spans="1:8" s="217" customFormat="1" ht="15" customHeight="1">
      <c r="B21" s="3" t="s">
        <v>173</v>
      </c>
      <c r="C21" s="17">
        <v>266648391</v>
      </c>
      <c r="D21" s="222">
        <v>0.40200000000000002</v>
      </c>
      <c r="E21" s="6"/>
      <c r="F21" s="17">
        <v>255428385</v>
      </c>
      <c r="G21" s="222">
        <v>0.39900000000000002</v>
      </c>
      <c r="H21" s="6"/>
    </row>
    <row r="22" spans="1:8" s="217" customFormat="1" ht="15" customHeight="1">
      <c r="B22" s="3" t="s">
        <v>174</v>
      </c>
      <c r="C22" s="17">
        <v>298027836</v>
      </c>
      <c r="D22" s="222">
        <v>0.45</v>
      </c>
      <c r="E22" s="6"/>
      <c r="F22" s="17">
        <v>287315456</v>
      </c>
      <c r="G22" s="222">
        <v>0.44800000000000001</v>
      </c>
      <c r="H22" s="6"/>
    </row>
    <row r="23" spans="1:8" s="217" customFormat="1" ht="15" customHeight="1">
      <c r="B23" s="14" t="s">
        <v>176</v>
      </c>
      <c r="C23" s="17">
        <v>26109233</v>
      </c>
      <c r="D23" s="222">
        <v>3.9E-2</v>
      </c>
      <c r="E23" s="6"/>
      <c r="F23" s="17">
        <v>25825766</v>
      </c>
      <c r="G23" s="222">
        <v>0.04</v>
      </c>
      <c r="H23" s="6"/>
    </row>
    <row r="24" spans="1:8" s="217" customFormat="1" ht="15" customHeight="1" thickBot="1">
      <c r="B24" s="3" t="s">
        <v>175</v>
      </c>
      <c r="C24" s="223">
        <v>71915834</v>
      </c>
      <c r="D24" s="224">
        <v>0.109</v>
      </c>
      <c r="E24" s="6"/>
      <c r="F24" s="223">
        <v>72286247</v>
      </c>
      <c r="G24" s="224">
        <v>0.113</v>
      </c>
      <c r="H24" s="6"/>
    </row>
    <row r="25" spans="1:8" s="217" customFormat="1" ht="15" customHeight="1" thickTop="1">
      <c r="B25" s="4" t="s">
        <v>112</v>
      </c>
      <c r="C25" s="25">
        <v>662701294</v>
      </c>
      <c r="D25" s="225">
        <v>1.0000000000000002</v>
      </c>
      <c r="E25" s="6"/>
      <c r="F25" s="25">
        <v>640855854</v>
      </c>
      <c r="G25" s="225">
        <v>1</v>
      </c>
      <c r="H25" s="6"/>
    </row>
    <row r="26" spans="1:8" s="217" customFormat="1" ht="15" customHeight="1">
      <c r="B26" s="13"/>
      <c r="C26" s="226">
        <v>0</v>
      </c>
      <c r="D26" s="226"/>
      <c r="E26" s="227"/>
      <c r="F26" s="226">
        <v>0</v>
      </c>
      <c r="G26" s="13"/>
      <c r="H26" s="13"/>
    </row>
    <row r="27" spans="1:8" s="217" customFormat="1" ht="15" customHeight="1" thickBot="1">
      <c r="B27" s="277" t="s">
        <v>185</v>
      </c>
      <c r="C27" s="5" t="s">
        <v>294</v>
      </c>
      <c r="D27" s="5" t="s">
        <v>295</v>
      </c>
      <c r="E27" s="5" t="s">
        <v>95</v>
      </c>
      <c r="F27" s="6"/>
      <c r="G27" s="5" t="s">
        <v>113</v>
      </c>
      <c r="H27" s="13"/>
    </row>
    <row r="28" spans="1:8" s="217" customFormat="1" ht="15" customHeight="1">
      <c r="B28" s="22" t="s">
        <v>183</v>
      </c>
      <c r="C28" s="17">
        <v>532845</v>
      </c>
      <c r="D28" s="17">
        <v>525972</v>
      </c>
      <c r="E28" s="8">
        <v>1.2999999999999999E-2</v>
      </c>
      <c r="F28" s="6"/>
      <c r="G28" s="7">
        <v>6873</v>
      </c>
      <c r="H28" s="13"/>
    </row>
    <row r="29" spans="1:8" s="217" customFormat="1" ht="15" customHeight="1">
      <c r="B29" s="22" t="s">
        <v>184</v>
      </c>
      <c r="C29" s="17">
        <v>510871</v>
      </c>
      <c r="D29" s="17">
        <v>504516</v>
      </c>
      <c r="E29" s="8">
        <v>1.2999999999999999E-2</v>
      </c>
      <c r="F29" s="6"/>
      <c r="G29" s="7">
        <v>6355</v>
      </c>
      <c r="H29" s="13"/>
    </row>
    <row r="30" spans="1:8" s="217" customFormat="1" ht="15" customHeight="1">
      <c r="B30" s="22" t="s">
        <v>286</v>
      </c>
      <c r="C30" s="17">
        <v>441177</v>
      </c>
      <c r="D30" s="17">
        <v>436814</v>
      </c>
      <c r="E30" s="8">
        <v>0.01</v>
      </c>
      <c r="F30" s="6"/>
      <c r="G30" s="7">
        <v>4363</v>
      </c>
      <c r="H30" s="13"/>
    </row>
    <row r="31" spans="1:8" s="215" customFormat="1" ht="15" customHeight="1">
      <c r="B31" s="22" t="s">
        <v>146</v>
      </c>
      <c r="C31" s="17">
        <v>120586</v>
      </c>
      <c r="D31" s="17">
        <v>118711</v>
      </c>
      <c r="E31" s="8">
        <v>1.6E-2</v>
      </c>
      <c r="F31" s="19"/>
      <c r="G31" s="7">
        <v>1875</v>
      </c>
      <c r="H31" s="6"/>
    </row>
    <row r="32" spans="1:8" s="215" customFormat="1" ht="15" customHeight="1">
      <c r="B32" s="6"/>
      <c r="C32" s="278"/>
      <c r="D32" s="278"/>
      <c r="E32" s="6"/>
      <c r="F32" s="6"/>
      <c r="G32" s="6"/>
      <c r="H32" s="6"/>
    </row>
    <row r="33" spans="2:8" s="215" customFormat="1" ht="15" customHeight="1" thickBot="1">
      <c r="B33" s="18" t="s">
        <v>114</v>
      </c>
      <c r="C33" s="5" t="s">
        <v>294</v>
      </c>
      <c r="D33" s="5" t="s">
        <v>295</v>
      </c>
      <c r="E33" s="5" t="s">
        <v>95</v>
      </c>
      <c r="F33" s="6"/>
      <c r="G33" s="5" t="s">
        <v>113</v>
      </c>
      <c r="H33" s="6"/>
    </row>
    <row r="34" spans="2:8" s="215" customFormat="1" ht="15" customHeight="1">
      <c r="B34" s="22" t="s">
        <v>183</v>
      </c>
      <c r="C34" s="17">
        <v>2345870</v>
      </c>
      <c r="D34" s="17">
        <v>2306152</v>
      </c>
      <c r="E34" s="8">
        <v>1.7000000000000001E-2</v>
      </c>
      <c r="F34" s="6"/>
      <c r="G34" s="7">
        <v>39718</v>
      </c>
      <c r="H34" s="6"/>
    </row>
    <row r="35" spans="2:8" s="215" customFormat="1" ht="15" customHeight="1">
      <c r="B35" s="22" t="s">
        <v>184</v>
      </c>
      <c r="C35" s="17">
        <v>2301206</v>
      </c>
      <c r="D35" s="17">
        <v>2261448</v>
      </c>
      <c r="E35" s="8">
        <v>1.7999999999999999E-2</v>
      </c>
      <c r="F35" s="6"/>
      <c r="G35" s="7">
        <v>39758</v>
      </c>
      <c r="H35" s="6"/>
    </row>
    <row r="36" spans="2:8" s="215" customFormat="1" ht="15" customHeight="1">
      <c r="B36" s="6"/>
      <c r="C36" s="6"/>
      <c r="D36" s="6"/>
      <c r="E36" s="6"/>
      <c r="F36" s="6"/>
      <c r="G36" s="6"/>
      <c r="H36" s="6"/>
    </row>
    <row r="37" spans="2:8" s="215" customFormat="1" ht="15" customHeight="1">
      <c r="B37" s="279" t="s">
        <v>123</v>
      </c>
      <c r="C37" s="6"/>
      <c r="D37" s="6"/>
      <c r="E37" s="6"/>
      <c r="F37" s="6"/>
      <c r="G37" s="6"/>
      <c r="H37" s="6"/>
    </row>
    <row r="38" spans="2:8" s="215" customFormat="1" ht="15" customHeight="1">
      <c r="B38" s="279"/>
      <c r="C38" s="6"/>
      <c r="D38" s="6"/>
      <c r="E38" s="6"/>
      <c r="F38" s="6"/>
      <c r="G38" s="6"/>
      <c r="H38" s="6"/>
    </row>
    <row r="39" spans="2:8" s="215" customFormat="1" ht="14.4" thickBot="1">
      <c r="B39" s="18" t="s">
        <v>155</v>
      </c>
      <c r="C39" s="5" t="s">
        <v>294</v>
      </c>
      <c r="D39" s="5" t="s">
        <v>295</v>
      </c>
      <c r="E39" s="5" t="s">
        <v>95</v>
      </c>
      <c r="F39" s="6"/>
      <c r="G39" s="6"/>
      <c r="H39" s="6"/>
    </row>
    <row r="40" spans="2:8" s="215" customFormat="1" ht="13.8">
      <c r="B40" s="3" t="s">
        <v>93</v>
      </c>
      <c r="C40" s="17">
        <v>22513399</v>
      </c>
      <c r="D40" s="17">
        <v>22478801</v>
      </c>
      <c r="E40" s="8">
        <v>2.0000000000000018E-3</v>
      </c>
      <c r="F40" s="6"/>
      <c r="G40" s="6"/>
      <c r="H40" s="6"/>
    </row>
    <row r="41" spans="2:8" s="215" customFormat="1" ht="13.8">
      <c r="B41" s="3" t="s">
        <v>199</v>
      </c>
      <c r="C41" s="17">
        <v>10858700</v>
      </c>
      <c r="D41" s="17">
        <v>9649213</v>
      </c>
      <c r="E41" s="8">
        <v>0.125</v>
      </c>
      <c r="F41" s="6"/>
      <c r="G41" s="6"/>
      <c r="H41" s="6"/>
    </row>
    <row r="42" spans="2:8" s="215" customFormat="1" ht="13.8">
      <c r="B42" s="3" t="s">
        <v>229</v>
      </c>
      <c r="C42" s="17">
        <v>4433433</v>
      </c>
      <c r="D42" s="17">
        <v>3534915</v>
      </c>
      <c r="E42" s="8">
        <v>0.254</v>
      </c>
      <c r="F42" s="6"/>
      <c r="G42" s="6"/>
      <c r="H42" s="6"/>
    </row>
    <row r="43" spans="2:8" s="215" customFormat="1" ht="13.8">
      <c r="B43" s="3" t="s">
        <v>263</v>
      </c>
      <c r="C43" s="17">
        <v>3196878</v>
      </c>
      <c r="D43" s="17">
        <v>2130047</v>
      </c>
      <c r="E43" s="8">
        <v>0.50099999999999989</v>
      </c>
      <c r="F43" s="6"/>
      <c r="G43" s="6"/>
      <c r="H43" s="6"/>
    </row>
    <row r="44" spans="2:8" s="215" customFormat="1" ht="13.8">
      <c r="B44" s="4" t="s">
        <v>17</v>
      </c>
      <c r="C44" s="25">
        <v>41002410</v>
      </c>
      <c r="D44" s="25">
        <v>37792976</v>
      </c>
      <c r="E44" s="10">
        <v>8.4999999999999964E-2</v>
      </c>
      <c r="F44" s="6"/>
      <c r="G44" s="6"/>
      <c r="H44" s="6"/>
    </row>
    <row r="45" spans="2:8" s="215" customFormat="1" ht="15" customHeight="1">
      <c r="C45" s="228"/>
      <c r="D45" s="228"/>
    </row>
    <row r="46" spans="2:8" s="215" customFormat="1" ht="15" customHeight="1">
      <c r="C46" s="229"/>
      <c r="D46" s="229"/>
      <c r="G46" s="229"/>
    </row>
    <row r="47" spans="2:8" s="215" customFormat="1" ht="15" hidden="1" customHeight="1"/>
    <row r="50" spans="2:3" ht="15" hidden="1" customHeight="1">
      <c r="B50" s="3"/>
      <c r="C50" s="21"/>
    </row>
    <row r="51" spans="2:3" ht="15" hidden="1" customHeight="1">
      <c r="B51" s="3"/>
      <c r="C51" s="21"/>
    </row>
    <row r="52" spans="2:3" ht="15" hidden="1" customHeight="1">
      <c r="B52" s="3"/>
      <c r="C52" s="21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workbookViewId="0">
      <selection activeCell="A31" sqref="A31:XFD1048576"/>
    </sheetView>
  </sheetViews>
  <sheetFormatPr baseColWidth="10" defaultColWidth="0" defaultRowHeight="13.8" zeroHeight="1"/>
  <cols>
    <col min="1" max="1" width="11.44140625" style="6" customWidth="1"/>
    <col min="2" max="2" width="25.44140625" style="6" bestFit="1" customWidth="1"/>
    <col min="3" max="4" width="12" style="6" bestFit="1" customWidth="1"/>
    <col min="5" max="8" width="11.44140625" style="6" customWidth="1"/>
    <col min="9" max="9" width="11.44140625" style="6" hidden="1"/>
    <col min="10" max="10" width="68.44140625" style="6" hidden="1"/>
    <col min="11" max="11" width="12.44140625" style="6" hidden="1"/>
    <col min="12" max="13" width="0" style="6" hidden="1"/>
    <col min="14" max="16384" width="11.44140625" style="6" hidden="1"/>
  </cols>
  <sheetData>
    <row r="1" spans="2:13">
      <c r="B1" s="11" t="s">
        <v>169</v>
      </c>
    </row>
    <row r="2" spans="2:13"/>
    <row r="3" spans="2:13" ht="14.4" thickBot="1">
      <c r="B3" s="49" t="s">
        <v>154</v>
      </c>
      <c r="C3" s="5" t="s">
        <v>294</v>
      </c>
      <c r="D3" s="5" t="s">
        <v>295</v>
      </c>
      <c r="E3" s="5" t="s">
        <v>95</v>
      </c>
      <c r="G3" s="5" t="s">
        <v>254</v>
      </c>
    </row>
    <row r="4" spans="2:13">
      <c r="B4" s="22" t="s">
        <v>186</v>
      </c>
      <c r="C4" s="7">
        <v>621025077</v>
      </c>
      <c r="D4" s="7">
        <v>602598942</v>
      </c>
      <c r="E4" s="8">
        <v>3.1E-2</v>
      </c>
      <c r="G4" s="7">
        <v>18426135</v>
      </c>
      <c r="J4" s="23"/>
      <c r="K4" s="24"/>
      <c r="L4" s="24"/>
      <c r="M4" s="24"/>
    </row>
    <row r="5" spans="2:13">
      <c r="B5" s="22" t="s">
        <v>187</v>
      </c>
      <c r="C5" s="7">
        <v>1391629</v>
      </c>
      <c r="D5" s="7">
        <v>1896161</v>
      </c>
      <c r="E5" s="8">
        <v>-0.26600000000000001</v>
      </c>
      <c r="F5" s="19"/>
      <c r="G5" s="7">
        <v>-504532</v>
      </c>
      <c r="J5" s="23"/>
      <c r="K5" s="24"/>
      <c r="L5" s="24"/>
      <c r="M5" s="24"/>
    </row>
    <row r="6" spans="2:13">
      <c r="B6" s="22" t="s">
        <v>178</v>
      </c>
      <c r="C6" s="7">
        <v>-307296971</v>
      </c>
      <c r="D6" s="7">
        <v>-295207729</v>
      </c>
      <c r="E6" s="8">
        <v>4.1000000000000002E-2</v>
      </c>
      <c r="G6" s="7">
        <v>-12089242</v>
      </c>
      <c r="I6" s="280"/>
      <c r="J6" s="23"/>
      <c r="K6" s="24"/>
      <c r="L6" s="24"/>
      <c r="M6" s="24"/>
    </row>
    <row r="7" spans="2:13" s="11" customFormat="1">
      <c r="B7" s="50" t="s">
        <v>105</v>
      </c>
      <c r="C7" s="178">
        <v>315119735</v>
      </c>
      <c r="D7" s="178">
        <v>309287374</v>
      </c>
      <c r="E7" s="10">
        <v>1.9E-2</v>
      </c>
      <c r="G7" s="9">
        <v>5832361</v>
      </c>
      <c r="I7" s="281"/>
      <c r="J7" s="26"/>
      <c r="K7" s="27"/>
      <c r="L7" s="27"/>
      <c r="M7" s="27"/>
    </row>
    <row r="8" spans="2:13">
      <c r="B8" s="22" t="s">
        <v>6</v>
      </c>
      <c r="C8" s="7">
        <v>-79779887</v>
      </c>
      <c r="D8" s="7">
        <v>-75423530</v>
      </c>
      <c r="E8" s="8">
        <v>5.8000000000000003E-2</v>
      </c>
      <c r="G8" s="7">
        <v>-4356357</v>
      </c>
      <c r="J8" s="23"/>
      <c r="K8" s="24"/>
      <c r="L8" s="24"/>
      <c r="M8" s="24"/>
    </row>
    <row r="9" spans="2:13" s="11" customFormat="1">
      <c r="B9" s="50" t="s">
        <v>179</v>
      </c>
      <c r="C9" s="178">
        <v>235339848</v>
      </c>
      <c r="D9" s="178">
        <v>233863844</v>
      </c>
      <c r="E9" s="10">
        <v>6.0000000000000001E-3</v>
      </c>
      <c r="G9" s="9">
        <v>1476004</v>
      </c>
      <c r="J9" s="26"/>
      <c r="K9" s="27"/>
      <c r="L9" s="27"/>
      <c r="M9" s="27"/>
    </row>
    <row r="10" spans="2:13">
      <c r="B10" s="22" t="s">
        <v>188</v>
      </c>
      <c r="C10" s="7">
        <v>-278942</v>
      </c>
      <c r="D10" s="7">
        <v>3685254</v>
      </c>
      <c r="E10" s="8" t="s">
        <v>218</v>
      </c>
      <c r="F10" s="19"/>
      <c r="G10" s="7">
        <v>-3964196</v>
      </c>
      <c r="J10" s="23"/>
      <c r="K10" s="24"/>
      <c r="L10" s="24"/>
      <c r="M10" s="24"/>
    </row>
    <row r="11" spans="2:13">
      <c r="B11" s="22" t="s">
        <v>181</v>
      </c>
      <c r="C11" s="7">
        <v>-84796607</v>
      </c>
      <c r="D11" s="7">
        <v>-76175520</v>
      </c>
      <c r="E11" s="8">
        <v>0.113</v>
      </c>
      <c r="G11" s="7">
        <v>-8621087</v>
      </c>
      <c r="J11" s="23"/>
      <c r="K11" s="24"/>
      <c r="L11" s="24"/>
      <c r="M11" s="24"/>
    </row>
    <row r="12" spans="2:13">
      <c r="B12" s="22" t="s">
        <v>145</v>
      </c>
      <c r="C12" s="7">
        <v>-32412113</v>
      </c>
      <c r="D12" s="7">
        <v>-32554166</v>
      </c>
      <c r="E12" s="8">
        <v>-4.0000000000000001E-3</v>
      </c>
      <c r="G12" s="7">
        <v>142053</v>
      </c>
      <c r="J12" s="23"/>
      <c r="K12" s="24"/>
      <c r="L12" s="24"/>
      <c r="M12" s="24"/>
    </row>
    <row r="13" spans="2:13">
      <c r="B13" s="22" t="s">
        <v>250</v>
      </c>
      <c r="C13" s="7">
        <v>-2008</v>
      </c>
      <c r="D13" s="7">
        <v>-1895</v>
      </c>
      <c r="E13" s="8">
        <v>0.06</v>
      </c>
      <c r="G13" s="7">
        <v>-113</v>
      </c>
      <c r="J13" s="23"/>
      <c r="K13" s="24"/>
      <c r="L13" s="24"/>
      <c r="M13" s="24"/>
    </row>
    <row r="14" spans="2:13" s="11" customFormat="1">
      <c r="B14" s="50" t="s">
        <v>182</v>
      </c>
      <c r="C14" s="178">
        <v>117850178</v>
      </c>
      <c r="D14" s="178">
        <v>128817517</v>
      </c>
      <c r="E14" s="10">
        <v>-8.5000000000000006E-2</v>
      </c>
      <c r="G14" s="9">
        <v>-10967339</v>
      </c>
      <c r="J14" s="26"/>
      <c r="K14" s="27"/>
      <c r="L14" s="27"/>
      <c r="M14" s="27"/>
    </row>
    <row r="15" spans="2:13">
      <c r="C15" s="130">
        <v>0</v>
      </c>
      <c r="D15" s="130">
        <v>0</v>
      </c>
      <c r="J15" s="23"/>
      <c r="M15" s="24"/>
    </row>
    <row r="16" spans="2:13">
      <c r="C16" s="24"/>
      <c r="D16" s="24"/>
      <c r="J16" s="23"/>
    </row>
    <row r="17" spans="2:10">
      <c r="B17" s="11" t="s">
        <v>170</v>
      </c>
      <c r="J17" s="23"/>
    </row>
    <row r="18" spans="2:10">
      <c r="J18" s="23"/>
    </row>
    <row r="19" spans="2:10" ht="14.4" thickBot="1">
      <c r="B19" s="49" t="s">
        <v>154</v>
      </c>
      <c r="C19" s="5" t="s">
        <v>294</v>
      </c>
      <c r="D19" s="5" t="s">
        <v>295</v>
      </c>
      <c r="E19" s="5" t="s">
        <v>95</v>
      </c>
      <c r="G19" s="5" t="s">
        <v>254</v>
      </c>
    </row>
    <row r="20" spans="2:10">
      <c r="B20" s="22" t="s">
        <v>186</v>
      </c>
      <c r="C20" s="7">
        <v>41676217</v>
      </c>
      <c r="D20" s="7">
        <v>38256912</v>
      </c>
      <c r="E20" s="8">
        <v>8.8999999999999996E-2</v>
      </c>
      <c r="G20" s="7">
        <v>3419305</v>
      </c>
    </row>
    <row r="21" spans="2:10">
      <c r="B21" s="22" t="s">
        <v>187</v>
      </c>
      <c r="C21" s="7">
        <v>12795147</v>
      </c>
      <c r="D21" s="7">
        <v>11790101</v>
      </c>
      <c r="E21" s="8">
        <v>8.5000000000000006E-2</v>
      </c>
      <c r="G21" s="7">
        <v>1005046</v>
      </c>
    </row>
    <row r="22" spans="2:10">
      <c r="B22" s="22" t="s">
        <v>178</v>
      </c>
      <c r="C22" s="7">
        <v>-44154681</v>
      </c>
      <c r="D22" s="7">
        <v>-41046449</v>
      </c>
      <c r="E22" s="8">
        <v>7.5999999999999998E-2</v>
      </c>
      <c r="G22" s="7">
        <v>-3108232</v>
      </c>
    </row>
    <row r="23" spans="2:10">
      <c r="B23" s="50" t="s">
        <v>105</v>
      </c>
      <c r="C23" s="9">
        <v>10316683</v>
      </c>
      <c r="D23" s="9">
        <v>9000564</v>
      </c>
      <c r="E23" s="10">
        <v>0.14599999999999999</v>
      </c>
      <c r="F23" s="11"/>
      <c r="G23" s="9">
        <v>1316119</v>
      </c>
    </row>
    <row r="24" spans="2:10">
      <c r="B24" s="22" t="s">
        <v>6</v>
      </c>
      <c r="C24" s="7">
        <v>-2440704</v>
      </c>
      <c r="D24" s="7">
        <v>-2310091</v>
      </c>
      <c r="E24" s="8">
        <v>5.7000000000000002E-2</v>
      </c>
      <c r="G24" s="7">
        <v>-130613</v>
      </c>
    </row>
    <row r="25" spans="2:10">
      <c r="B25" s="50" t="s">
        <v>179</v>
      </c>
      <c r="C25" s="9">
        <v>7875979</v>
      </c>
      <c r="D25" s="9">
        <v>6690473</v>
      </c>
      <c r="E25" s="10">
        <v>0.17699999999999999</v>
      </c>
      <c r="F25" s="11"/>
      <c r="G25" s="9">
        <v>1185506</v>
      </c>
    </row>
    <row r="26" spans="2:10">
      <c r="B26" s="22" t="s">
        <v>188</v>
      </c>
      <c r="C26" s="7">
        <v>589067</v>
      </c>
      <c r="D26" s="7">
        <v>-304432</v>
      </c>
      <c r="E26" s="8">
        <v>-2.9350000000000001</v>
      </c>
      <c r="G26" s="7">
        <v>893499</v>
      </c>
    </row>
    <row r="27" spans="2:10">
      <c r="B27" s="22" t="s">
        <v>181</v>
      </c>
      <c r="C27" s="7">
        <v>-80973</v>
      </c>
      <c r="D27" s="7">
        <v>-458066</v>
      </c>
      <c r="E27" s="8">
        <v>-0.82299999999999995</v>
      </c>
      <c r="G27" s="7">
        <v>377093</v>
      </c>
    </row>
    <row r="28" spans="2:10">
      <c r="B28" s="22" t="s">
        <v>145</v>
      </c>
      <c r="C28" s="7">
        <v>-1894605</v>
      </c>
      <c r="D28" s="7">
        <v>-1355071</v>
      </c>
      <c r="E28" s="8">
        <v>0.39800000000000002</v>
      </c>
      <c r="G28" s="7">
        <v>-539534</v>
      </c>
    </row>
    <row r="29" spans="2:10">
      <c r="B29" s="50" t="s">
        <v>182</v>
      </c>
      <c r="C29" s="178">
        <v>6489468</v>
      </c>
      <c r="D29" s="178">
        <v>4572904</v>
      </c>
      <c r="E29" s="10">
        <v>0.41899999999999998</v>
      </c>
      <c r="F29" s="11"/>
      <c r="G29" s="9">
        <v>1916564</v>
      </c>
    </row>
    <row r="30" spans="2:10">
      <c r="C30" s="130">
        <v>0</v>
      </c>
      <c r="D30" s="130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/>
  <dimension ref="A1:N39"/>
  <sheetViews>
    <sheetView showGridLines="0" workbookViewId="0">
      <selection activeCell="C4" sqref="C4"/>
    </sheetView>
  </sheetViews>
  <sheetFormatPr baseColWidth="10" defaultColWidth="11.44140625" defaultRowHeight="13.8"/>
  <cols>
    <col min="1" max="1" width="4" style="29" customWidth="1"/>
    <col min="2" max="2" width="25.44140625" style="29" bestFit="1" customWidth="1"/>
    <col min="3" max="16384" width="11.44140625" style="29"/>
  </cols>
  <sheetData>
    <row r="1" spans="1:14" ht="15" customHeight="1">
      <c r="A1" s="28" t="s">
        <v>121</v>
      </c>
    </row>
    <row r="3" spans="1:14" ht="14.4" thickBot="1">
      <c r="B3" s="1" t="s">
        <v>154</v>
      </c>
      <c r="C3" s="200" t="s">
        <v>264</v>
      </c>
      <c r="D3" s="200" t="s">
        <v>265</v>
      </c>
      <c r="E3" s="200" t="s">
        <v>95</v>
      </c>
      <c r="F3" s="6"/>
      <c r="G3" s="200" t="s">
        <v>261</v>
      </c>
    </row>
    <row r="4" spans="1:14" ht="15" customHeight="1">
      <c r="B4" s="3" t="s">
        <v>94</v>
      </c>
      <c r="C4" s="177">
        <f>+Resultado!F5</f>
        <v>0</v>
      </c>
      <c r="D4" s="177">
        <f>+Resultado!G5</f>
        <v>21845440</v>
      </c>
      <c r="E4" s="8">
        <f>+ROUND(G4/D4,3)</f>
        <v>-1</v>
      </c>
      <c r="F4" s="6"/>
      <c r="G4" s="7">
        <f>+C4-D4</f>
        <v>-21845440</v>
      </c>
    </row>
    <row r="5" spans="1:14" s="30" customFormat="1" ht="15" customHeight="1">
      <c r="B5" s="3" t="s">
        <v>104</v>
      </c>
      <c r="C5" s="177">
        <f>+Resultado!F6+Resultado!F7+Resultado!F10+Resultado!F9</f>
        <v>0</v>
      </c>
      <c r="D5" s="177">
        <f>+Resultado!G6+Resultado!G7+Resultado!G10+Resultado!G9</f>
        <v>-14696965</v>
      </c>
      <c r="E5" s="8">
        <f t="shared" ref="E5:E14" si="0">+ROUND(G5/D5,3)</f>
        <v>-1</v>
      </c>
      <c r="F5" s="6"/>
      <c r="G5" s="7">
        <f t="shared" ref="G5:G14" si="1">+C5-D5</f>
        <v>14696965</v>
      </c>
    </row>
    <row r="6" spans="1:14" s="30" customFormat="1" ht="15" customHeight="1">
      <c r="B6" s="4" t="s">
        <v>105</v>
      </c>
      <c r="C6" s="195">
        <f>SUM(C4:C5)</f>
        <v>0</v>
      </c>
      <c r="D6" s="195">
        <f>SUM(D4:D5)</f>
        <v>7148475</v>
      </c>
      <c r="E6" s="10">
        <f t="shared" si="0"/>
        <v>-1</v>
      </c>
      <c r="F6" s="11"/>
      <c r="G6" s="9">
        <f t="shared" si="1"/>
        <v>-7148475</v>
      </c>
    </row>
    <row r="7" spans="1:14" s="30" customFormat="1" ht="15" customHeight="1">
      <c r="B7" s="3" t="s">
        <v>106</v>
      </c>
      <c r="C7" s="177">
        <f>+Resultado!F8</f>
        <v>0</v>
      </c>
      <c r="D7" s="177">
        <f>+Resultado!G8</f>
        <v>-4531241</v>
      </c>
      <c r="E7" s="8">
        <f t="shared" si="0"/>
        <v>-1</v>
      </c>
      <c r="F7" s="6"/>
      <c r="G7" s="7">
        <f t="shared" si="1"/>
        <v>4531241</v>
      </c>
      <c r="L7" s="21"/>
      <c r="M7" s="21"/>
      <c r="N7" s="31"/>
    </row>
    <row r="8" spans="1:14" s="30" customFormat="1" ht="15" customHeight="1">
      <c r="B8" s="4" t="s">
        <v>107</v>
      </c>
      <c r="C8" s="195">
        <f>+C6+C7</f>
        <v>0</v>
      </c>
      <c r="D8" s="195">
        <f>+D6+D7</f>
        <v>2617234</v>
      </c>
      <c r="E8" s="10">
        <f t="shared" si="0"/>
        <v>-1</v>
      </c>
      <c r="F8" s="11"/>
      <c r="G8" s="9">
        <f t="shared" si="1"/>
        <v>-2617234</v>
      </c>
    </row>
    <row r="9" spans="1:14" s="30" customFormat="1" ht="15" customHeight="1">
      <c r="B9" s="3" t="s">
        <v>197</v>
      </c>
      <c r="C9" s="177">
        <f>+Resultado!F11</f>
        <v>0</v>
      </c>
      <c r="D9" s="177">
        <f>+Resultado!G11</f>
        <v>-2809775</v>
      </c>
      <c r="E9" s="8">
        <f t="shared" si="0"/>
        <v>-1</v>
      </c>
      <c r="F9" s="51"/>
      <c r="G9" s="7">
        <f t="shared" si="1"/>
        <v>2809775</v>
      </c>
    </row>
    <row r="10" spans="1:14" s="30" customFormat="1" ht="15" customHeight="1">
      <c r="B10" s="3" t="s">
        <v>222</v>
      </c>
      <c r="C10" s="177">
        <v>0</v>
      </c>
      <c r="D10" s="177">
        <v>0</v>
      </c>
      <c r="E10" s="8">
        <v>0</v>
      </c>
      <c r="F10" s="51"/>
      <c r="G10" s="7">
        <f t="shared" si="1"/>
        <v>0</v>
      </c>
    </row>
    <row r="11" spans="1:14" s="30" customFormat="1" ht="15" customHeight="1">
      <c r="B11" s="3" t="s">
        <v>108</v>
      </c>
      <c r="C11" s="177">
        <f>+Resultado!F13+Resultado!F14+Resultado!F16+Resultado!F17</f>
        <v>0</v>
      </c>
      <c r="D11" s="177">
        <f>+Resultado!G13+Resultado!G14+Resultado!G16+Resultado!G17</f>
        <v>-8243995</v>
      </c>
      <c r="E11" s="8">
        <f t="shared" si="0"/>
        <v>-1</v>
      </c>
      <c r="F11" s="6"/>
      <c r="G11" s="7">
        <f t="shared" si="1"/>
        <v>8243995</v>
      </c>
    </row>
    <row r="12" spans="1:14" s="30" customFormat="1" ht="15" customHeight="1">
      <c r="B12" s="3" t="s">
        <v>145</v>
      </c>
      <c r="C12" s="177">
        <f>Resultado!F20</f>
        <v>0</v>
      </c>
      <c r="D12" s="270">
        <f>Resultado!G20</f>
        <v>-397481</v>
      </c>
      <c r="E12" s="8">
        <f t="shared" si="0"/>
        <v>-1</v>
      </c>
      <c r="F12" s="6"/>
      <c r="G12" s="7">
        <f t="shared" si="1"/>
        <v>397481</v>
      </c>
    </row>
    <row r="13" spans="1:14" s="30" customFormat="1" ht="15" customHeight="1">
      <c r="B13" s="3" t="s">
        <v>260</v>
      </c>
      <c r="C13" s="177">
        <f>-Resultado!F27</f>
        <v>0</v>
      </c>
      <c r="D13" s="270">
        <f>-Resultado!G27</f>
        <v>-113</v>
      </c>
      <c r="E13" s="8">
        <f t="shared" si="0"/>
        <v>-1</v>
      </c>
      <c r="F13" s="6"/>
      <c r="G13" s="7">
        <f t="shared" si="1"/>
        <v>113</v>
      </c>
    </row>
    <row r="14" spans="1:14" s="30" customFormat="1" ht="15" customHeight="1">
      <c r="B14" s="4" t="s">
        <v>109</v>
      </c>
      <c r="C14" s="178">
        <f>+SUM(C8:C13)</f>
        <v>0</v>
      </c>
      <c r="D14" s="269">
        <f>+SUM(D8:D13)</f>
        <v>-8834130</v>
      </c>
      <c r="E14" s="10">
        <f t="shared" si="0"/>
        <v>-1</v>
      </c>
      <c r="F14" s="11"/>
      <c r="G14" s="9">
        <f t="shared" si="1"/>
        <v>8834130</v>
      </c>
    </row>
    <row r="15" spans="1:14" s="30" customFormat="1" ht="15" customHeight="1">
      <c r="C15" s="178">
        <f>+C14-Resultado!F26</f>
        <v>0</v>
      </c>
      <c r="D15" s="178">
        <f>+D14-Resultado!G26</f>
        <v>0</v>
      </c>
    </row>
    <row r="16" spans="1:14" s="30" customFormat="1" ht="15" customHeight="1"/>
    <row r="17" s="30" customFormat="1" ht="15" customHeight="1"/>
    <row r="18" s="30" customFormat="1" ht="15" customHeight="1"/>
    <row r="19" s="30" customFormat="1" ht="15" customHeight="1"/>
    <row r="20" s="30" customFormat="1" ht="15" customHeight="1"/>
    <row r="21" s="30" customFormat="1" ht="15" customHeight="1"/>
    <row r="22" s="30" customFormat="1" ht="15" customHeight="1"/>
    <row r="23" s="30" customFormat="1" ht="15" customHeight="1"/>
    <row r="24" s="30" customFormat="1" ht="15" customHeight="1"/>
    <row r="25" s="30" customFormat="1" ht="15" customHeight="1"/>
    <row r="26" s="30" customFormat="1" ht="15" customHeight="1"/>
    <row r="27" s="30" customFormat="1" ht="15" customHeight="1"/>
    <row r="28" s="30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3"/>
  <sheetViews>
    <sheetView showGridLines="0" workbookViewId="0">
      <selection activeCell="A32" sqref="A32:XFD1048576"/>
    </sheetView>
  </sheetViews>
  <sheetFormatPr baseColWidth="10" defaultColWidth="0" defaultRowHeight="15" customHeight="1" zeroHeight="1"/>
  <cols>
    <col min="1" max="1" width="3.6640625" style="6" customWidth="1"/>
    <col min="2" max="2" width="49.44140625" style="6" customWidth="1"/>
    <col min="3" max="4" width="15.5546875" style="6" customWidth="1"/>
    <col min="5" max="5" width="10.5546875" style="6" customWidth="1"/>
    <col min="6" max="6" width="11.44140625" style="6" customWidth="1"/>
    <col min="7" max="12" width="0" style="6" hidden="1"/>
    <col min="13" max="16384" width="11.44140625" style="6" hidden="1"/>
  </cols>
  <sheetData>
    <row r="1" spans="2:9" ht="15" customHeight="1"/>
    <row r="2" spans="2:9" ht="15" customHeight="1">
      <c r="B2" s="13"/>
      <c r="C2" s="13"/>
      <c r="D2" s="13"/>
      <c r="E2" s="13"/>
    </row>
    <row r="3" spans="2:9" ht="15" customHeight="1" thickBot="1">
      <c r="B3" s="16" t="s">
        <v>96</v>
      </c>
      <c r="C3" s="5" t="s">
        <v>294</v>
      </c>
      <c r="D3" s="5" t="s">
        <v>253</v>
      </c>
      <c r="E3" s="16" t="s">
        <v>95</v>
      </c>
      <c r="F3" s="212"/>
      <c r="G3" s="212"/>
    </row>
    <row r="4" spans="2:9" ht="12.75" customHeight="1">
      <c r="B4" s="3" t="s">
        <v>2</v>
      </c>
      <c r="C4" s="189">
        <v>288702263</v>
      </c>
      <c r="D4" s="189">
        <v>275004410</v>
      </c>
      <c r="E4" s="211">
        <v>0.05</v>
      </c>
      <c r="F4" s="212"/>
      <c r="G4" s="212"/>
    </row>
    <row r="5" spans="2:9" ht="12.75" customHeight="1">
      <c r="B5" s="3" t="s">
        <v>3</v>
      </c>
      <c r="C5" s="189">
        <v>2729457072</v>
      </c>
      <c r="D5" s="189">
        <v>2148343319</v>
      </c>
      <c r="E5" s="211">
        <v>0.27</v>
      </c>
      <c r="F5" s="212"/>
      <c r="G5" s="212"/>
      <c r="H5" s="212"/>
      <c r="I5" s="190"/>
    </row>
    <row r="6" spans="2:9" ht="12.75" customHeight="1">
      <c r="B6" s="4" t="s">
        <v>15</v>
      </c>
      <c r="C6" s="271">
        <v>3018159335</v>
      </c>
      <c r="D6" s="271">
        <v>2423347729</v>
      </c>
      <c r="E6" s="272">
        <v>0.245</v>
      </c>
    </row>
    <row r="7" spans="2:9" ht="12.75" customHeight="1">
      <c r="B7" s="16" t="s">
        <v>126</v>
      </c>
      <c r="C7" s="209"/>
      <c r="D7" s="209"/>
      <c r="E7" s="210"/>
    </row>
    <row r="8" spans="2:9" ht="12.75" customHeight="1">
      <c r="B8" s="3" t="s">
        <v>0</v>
      </c>
      <c r="C8" s="189">
        <v>351513489</v>
      </c>
      <c r="D8" s="189">
        <v>361668126</v>
      </c>
      <c r="E8" s="211">
        <v>-2.8000000000000001E-2</v>
      </c>
    </row>
    <row r="9" spans="2:9" ht="12.75" customHeight="1">
      <c r="B9" s="3" t="s">
        <v>1</v>
      </c>
      <c r="C9" s="189">
        <v>1374530378</v>
      </c>
      <c r="D9" s="189">
        <v>1175540305</v>
      </c>
      <c r="E9" s="211">
        <v>0.16900000000000001</v>
      </c>
    </row>
    <row r="10" spans="2:9" ht="12.75" customHeight="1">
      <c r="B10" s="4" t="s">
        <v>16</v>
      </c>
      <c r="C10" s="271">
        <v>1726043867</v>
      </c>
      <c r="D10" s="271">
        <v>1537208431</v>
      </c>
      <c r="E10" s="272">
        <v>0.123</v>
      </c>
    </row>
    <row r="11" spans="2:9" ht="12.75" customHeight="1">
      <c r="B11" s="13"/>
      <c r="C11" s="209"/>
      <c r="D11" s="209"/>
      <c r="E11" s="210"/>
    </row>
    <row r="12" spans="2:9" ht="12.75" customHeight="1">
      <c r="B12" s="3" t="s">
        <v>20</v>
      </c>
      <c r="C12" s="189">
        <v>1292066950</v>
      </c>
      <c r="D12" s="189">
        <v>886107830</v>
      </c>
      <c r="E12" s="211">
        <v>0.45800000000000002</v>
      </c>
    </row>
    <row r="13" spans="2:9" ht="12.75" customHeight="1">
      <c r="B13" s="3" t="s">
        <v>21</v>
      </c>
      <c r="C13" s="189">
        <v>48518</v>
      </c>
      <c r="D13" s="189">
        <v>31468</v>
      </c>
      <c r="E13" s="211">
        <v>0.54200000000000004</v>
      </c>
    </row>
    <row r="14" spans="2:9" ht="12.75" customHeight="1">
      <c r="B14" s="4" t="s">
        <v>124</v>
      </c>
      <c r="C14" s="271">
        <v>1292115468</v>
      </c>
      <c r="D14" s="271">
        <v>886139298</v>
      </c>
      <c r="E14" s="272">
        <v>0.45800000000000002</v>
      </c>
    </row>
    <row r="15" spans="2:9" ht="12.75" customHeight="1">
      <c r="B15" s="4" t="s">
        <v>97</v>
      </c>
      <c r="C15" s="271">
        <v>3018159335</v>
      </c>
      <c r="D15" s="271">
        <v>2423347729</v>
      </c>
      <c r="E15" s="272">
        <v>0.245</v>
      </c>
    </row>
    <row r="16" spans="2:9" ht="15" customHeight="1">
      <c r="B16" s="13"/>
      <c r="C16" s="13"/>
      <c r="D16" s="13"/>
      <c r="E16" s="13"/>
    </row>
    <row r="17" spans="2:5" ht="15" customHeight="1">
      <c r="C17" s="182">
        <v>0</v>
      </c>
      <c r="D17" s="182">
        <v>0</v>
      </c>
    </row>
    <row r="18" spans="2:5" ht="15" customHeight="1"/>
    <row r="19" spans="2:5" ht="15" customHeight="1">
      <c r="B19" s="215"/>
      <c r="C19" s="215"/>
      <c r="D19" s="215"/>
    </row>
    <row r="20" spans="2:5" ht="15" customHeight="1" thickBot="1">
      <c r="B20" s="213" t="s">
        <v>285</v>
      </c>
      <c r="C20" s="214" t="s">
        <v>294</v>
      </c>
      <c r="D20" s="214"/>
    </row>
    <row r="21" spans="2:5" ht="15" customHeight="1">
      <c r="B21" s="22" t="s">
        <v>279</v>
      </c>
      <c r="C21" s="17">
        <v>30637575</v>
      </c>
      <c r="D21" s="216"/>
      <c r="E21" s="201"/>
    </row>
    <row r="22" spans="2:5" ht="15" customHeight="1">
      <c r="B22" s="22" t="s">
        <v>280</v>
      </c>
      <c r="C22" s="17">
        <v>26113660</v>
      </c>
      <c r="D22" s="216"/>
      <c r="E22" s="201"/>
    </row>
    <row r="23" spans="2:5" ht="15" customHeight="1">
      <c r="B23" s="22" t="s">
        <v>281</v>
      </c>
      <c r="C23" s="17">
        <v>15535402</v>
      </c>
      <c r="D23" s="216"/>
      <c r="E23" s="201"/>
    </row>
    <row r="24" spans="2:5" ht="15" customHeight="1">
      <c r="B24" s="22" t="s">
        <v>255</v>
      </c>
      <c r="C24" s="17">
        <v>8117204</v>
      </c>
      <c r="D24" s="216"/>
      <c r="E24" s="201"/>
    </row>
    <row r="25" spans="2:5" ht="15" customHeight="1">
      <c r="B25" s="22" t="s">
        <v>296</v>
      </c>
      <c r="C25" s="17">
        <v>4926466</v>
      </c>
      <c r="D25" s="216"/>
      <c r="E25" s="201"/>
    </row>
    <row r="26" spans="2:5" ht="15" customHeight="1">
      <c r="B26" s="22" t="s">
        <v>282</v>
      </c>
      <c r="C26" s="17">
        <v>4432716</v>
      </c>
      <c r="D26" s="216"/>
      <c r="E26" s="201"/>
    </row>
    <row r="27" spans="2:5" ht="15" customHeight="1">
      <c r="B27" s="22" t="s">
        <v>297</v>
      </c>
      <c r="C27" s="17">
        <v>3656932</v>
      </c>
      <c r="D27" s="216"/>
      <c r="E27" s="201"/>
    </row>
    <row r="28" spans="2:5" ht="15" customHeight="1">
      <c r="B28" s="22" t="s">
        <v>284</v>
      </c>
      <c r="C28" s="17">
        <v>2863137</v>
      </c>
      <c r="D28" s="216"/>
      <c r="E28" s="201"/>
    </row>
    <row r="29" spans="2:5" ht="15" customHeight="1">
      <c r="B29" s="22" t="s">
        <v>283</v>
      </c>
      <c r="C29" s="17">
        <v>2726982</v>
      </c>
      <c r="D29" s="216"/>
      <c r="E29" s="201"/>
    </row>
    <row r="30" spans="2:5" ht="15" customHeight="1">
      <c r="B30" s="22" t="s">
        <v>256</v>
      </c>
      <c r="C30" s="17">
        <v>50472688</v>
      </c>
      <c r="D30" s="288"/>
      <c r="E30" s="288"/>
    </row>
    <row r="31" spans="2:5" ht="15" customHeight="1">
      <c r="B31" s="22"/>
      <c r="C31" s="17"/>
    </row>
    <row r="32" spans="2:5" ht="15" hidden="1" customHeight="1">
      <c r="B32" s="230"/>
      <c r="C32" s="17"/>
    </row>
    <row r="33" spans="3:3" ht="15" hidden="1" customHeight="1">
      <c r="C33" s="17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N62"/>
  <sheetViews>
    <sheetView showGridLines="0" zoomScaleNormal="100" workbookViewId="0">
      <selection activeCell="A53" sqref="A53:XFD1048576"/>
    </sheetView>
  </sheetViews>
  <sheetFormatPr baseColWidth="10" defaultColWidth="0" defaultRowHeight="15" customHeight="1" zeroHeight="1"/>
  <cols>
    <col min="1" max="1" width="26.33203125" style="6" bestFit="1" customWidth="1"/>
    <col min="2" max="2" width="24.5546875" style="6" bestFit="1" customWidth="1"/>
    <col min="3" max="3" width="9.44140625" style="6" customWidth="1"/>
    <col min="4" max="4" width="11.33203125" style="6" bestFit="1" customWidth="1"/>
    <col min="5" max="7" width="10.6640625" style="6" customWidth="1"/>
    <col min="8" max="8" width="12.44140625" style="6" customWidth="1"/>
    <col min="9" max="9" width="11.44140625" style="6" customWidth="1"/>
    <col min="10" max="10" width="14.5546875" style="6" customWidth="1"/>
    <col min="11" max="11" width="11.44140625" style="6" customWidth="1"/>
    <col min="12" max="12" width="30.33203125" style="6" bestFit="1" customWidth="1"/>
    <col min="13" max="13" width="11.44140625" style="6" customWidth="1"/>
    <col min="14" max="14" width="0" style="6" hidden="1"/>
    <col min="15" max="16384" width="11.44140625" style="6" hidden="1"/>
  </cols>
  <sheetData>
    <row r="1" spans="1:9" ht="15" customHeight="1">
      <c r="E1" s="32"/>
      <c r="F1" s="32"/>
      <c r="G1" s="32"/>
      <c r="H1" s="32"/>
    </row>
    <row r="2" spans="1:9" ht="18.75" customHeight="1" thickBot="1">
      <c r="B2" s="33" t="s">
        <v>172</v>
      </c>
      <c r="C2" s="34" t="s">
        <v>116</v>
      </c>
      <c r="D2" s="34" t="s">
        <v>117</v>
      </c>
      <c r="E2" s="34" t="s">
        <v>118</v>
      </c>
      <c r="F2" s="34" t="s">
        <v>127</v>
      </c>
      <c r="G2" s="34" t="s">
        <v>128</v>
      </c>
      <c r="H2" s="34" t="s">
        <v>129</v>
      </c>
    </row>
    <row r="3" spans="1:9" ht="15" customHeight="1">
      <c r="A3" s="207"/>
      <c r="B3" s="2" t="s">
        <v>119</v>
      </c>
      <c r="C3" s="35" t="s">
        <v>14</v>
      </c>
      <c r="D3" s="121">
        <v>166023646</v>
      </c>
      <c r="E3" s="122">
        <v>21188694</v>
      </c>
      <c r="F3" s="122">
        <v>41727669</v>
      </c>
      <c r="G3" s="122">
        <v>37389983</v>
      </c>
      <c r="H3" s="122">
        <v>65717300</v>
      </c>
    </row>
    <row r="4" spans="1:9" ht="15" customHeight="1">
      <c r="A4" s="207"/>
      <c r="B4" s="3" t="s">
        <v>251</v>
      </c>
      <c r="C4" s="35" t="s">
        <v>14</v>
      </c>
      <c r="D4" s="121">
        <v>987657554</v>
      </c>
      <c r="E4" s="122">
        <v>15530414</v>
      </c>
      <c r="F4" s="122">
        <v>0</v>
      </c>
      <c r="G4" s="122">
        <v>109105657</v>
      </c>
      <c r="H4" s="122">
        <v>863021483</v>
      </c>
    </row>
    <row r="5" spans="1:9" ht="15" customHeight="1">
      <c r="A5" s="207"/>
      <c r="B5" s="3" t="s">
        <v>148</v>
      </c>
      <c r="C5" s="35" t="s">
        <v>14</v>
      </c>
      <c r="D5" s="121">
        <v>168535838</v>
      </c>
      <c r="E5" s="122">
        <v>79613631</v>
      </c>
      <c r="F5" s="122">
        <v>59188982</v>
      </c>
      <c r="G5" s="122">
        <v>29733225</v>
      </c>
      <c r="H5" s="122">
        <v>0</v>
      </c>
    </row>
    <row r="6" spans="1:9" ht="15" hidden="1" customHeight="1">
      <c r="A6" s="207"/>
      <c r="B6" s="3" t="s">
        <v>232</v>
      </c>
      <c r="C6" s="35" t="s">
        <v>231</v>
      </c>
      <c r="D6" s="121">
        <v>0</v>
      </c>
      <c r="E6" s="122">
        <v>0</v>
      </c>
      <c r="F6" s="122">
        <v>0</v>
      </c>
      <c r="G6" s="122">
        <v>0</v>
      </c>
      <c r="H6" s="122">
        <v>0</v>
      </c>
    </row>
    <row r="7" spans="1:9" ht="15" customHeight="1">
      <c r="B7" s="4" t="s">
        <v>219</v>
      </c>
      <c r="C7" s="35"/>
      <c r="D7" s="121">
        <v>1322217038</v>
      </c>
      <c r="E7" s="121">
        <v>116332739</v>
      </c>
      <c r="F7" s="121">
        <v>100916651</v>
      </c>
      <c r="G7" s="121">
        <v>176228865</v>
      </c>
      <c r="H7" s="121">
        <v>928738783</v>
      </c>
    </row>
    <row r="8" spans="1:9" ht="15" customHeight="1">
      <c r="A8" s="207"/>
      <c r="B8" s="191" t="s">
        <v>191</v>
      </c>
      <c r="C8" s="192" t="s">
        <v>14</v>
      </c>
      <c r="D8" s="193">
        <v>4380966</v>
      </c>
      <c r="E8" s="194">
        <v>1802206</v>
      </c>
      <c r="F8" s="194">
        <v>2089901</v>
      </c>
      <c r="G8" s="194">
        <v>259446</v>
      </c>
      <c r="H8" s="194">
        <v>229413</v>
      </c>
    </row>
    <row r="9" spans="1:9" ht="15" customHeight="1" thickBot="1">
      <c r="A9" s="207"/>
      <c r="B9" s="4" t="s">
        <v>220</v>
      </c>
      <c r="C9" s="36"/>
      <c r="D9" s="123">
        <v>4380966</v>
      </c>
      <c r="E9" s="123">
        <v>1802206</v>
      </c>
      <c r="F9" s="123">
        <v>2089901</v>
      </c>
      <c r="G9" s="123">
        <v>259446</v>
      </c>
      <c r="H9" s="123">
        <v>229413</v>
      </c>
    </row>
    <row r="10" spans="1:9" ht="15" customHeight="1">
      <c r="B10" s="37" t="s">
        <v>125</v>
      </c>
      <c r="C10" s="13"/>
      <c r="D10" s="121">
        <v>1326598004</v>
      </c>
      <c r="E10" s="121">
        <v>118134945</v>
      </c>
      <c r="F10" s="121">
        <v>103006552</v>
      </c>
      <c r="G10" s="121">
        <v>176488311</v>
      </c>
      <c r="H10" s="121">
        <v>928968196</v>
      </c>
    </row>
    <row r="11" spans="1:9" ht="15" customHeight="1">
      <c r="D11" s="212">
        <v>0</v>
      </c>
    </row>
    <row r="12" spans="1:9" ht="15" customHeight="1">
      <c r="B12" s="6" t="s">
        <v>156</v>
      </c>
      <c r="D12" s="20"/>
      <c r="E12" s="20"/>
      <c r="F12" s="6" t="s">
        <v>157</v>
      </c>
      <c r="G12" s="20"/>
      <c r="H12" s="20"/>
    </row>
    <row r="13" spans="1:9" ht="15" customHeight="1">
      <c r="B13" s="38" t="s">
        <v>119</v>
      </c>
      <c r="C13" s="268">
        <v>0.125</v>
      </c>
      <c r="D13" s="39">
        <v>166023646</v>
      </c>
      <c r="E13" s="38"/>
      <c r="F13" s="38" t="s">
        <v>131</v>
      </c>
      <c r="G13" s="206">
        <v>0.89600000000000002</v>
      </c>
      <c r="H13" s="39">
        <v>1188924166</v>
      </c>
      <c r="I13" s="207"/>
    </row>
    <row r="14" spans="1:9" ht="15" customHeight="1">
      <c r="B14" s="38" t="s">
        <v>147</v>
      </c>
      <c r="C14" s="268">
        <v>0.745</v>
      </c>
      <c r="D14" s="39">
        <v>987657554</v>
      </c>
      <c r="E14" s="38"/>
      <c r="F14" s="38" t="s">
        <v>130</v>
      </c>
      <c r="G14" s="206">
        <v>0.104</v>
      </c>
      <c r="H14" s="39">
        <v>137673838</v>
      </c>
      <c r="I14" s="207"/>
    </row>
    <row r="15" spans="1:9" ht="15" customHeight="1">
      <c r="B15" s="38" t="s">
        <v>148</v>
      </c>
      <c r="C15" s="268">
        <v>0.127</v>
      </c>
      <c r="D15" s="39">
        <v>168535838</v>
      </c>
      <c r="E15" s="38"/>
      <c r="F15" s="38"/>
      <c r="G15" s="208">
        <v>1</v>
      </c>
      <c r="H15" s="39">
        <v>1326598004</v>
      </c>
    </row>
    <row r="16" spans="1:9" ht="13.8">
      <c r="B16" s="38" t="s">
        <v>191</v>
      </c>
      <c r="C16" s="268">
        <v>3.0000000000000001E-3</v>
      </c>
      <c r="D16" s="39">
        <v>4380966</v>
      </c>
      <c r="G16" s="40"/>
    </row>
    <row r="17" spans="3:8" ht="15" customHeight="1">
      <c r="C17" s="205">
        <v>1</v>
      </c>
      <c r="D17" s="202"/>
      <c r="G17" s="41"/>
    </row>
    <row r="18" spans="3:8" ht="15" customHeight="1">
      <c r="C18" s="40"/>
      <c r="D18" s="20"/>
      <c r="E18" s="20"/>
      <c r="F18" s="20"/>
      <c r="G18" s="20"/>
      <c r="H18" s="20"/>
    </row>
    <row r="19" spans="3:8" ht="15" customHeight="1">
      <c r="C19" s="41"/>
      <c r="D19" s="20"/>
      <c r="E19" s="20"/>
      <c r="F19" s="20"/>
      <c r="G19" s="20"/>
      <c r="H19" s="20"/>
    </row>
    <row r="20" spans="3:8" ht="15" customHeight="1">
      <c r="D20" s="20"/>
    </row>
    <row r="21" spans="3:8" ht="15" customHeight="1">
      <c r="D21" s="20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8" t="s">
        <v>210</v>
      </c>
      <c r="B43" s="179">
        <v>137673838</v>
      </c>
      <c r="C43" s="245">
        <v>0.1038</v>
      </c>
      <c r="D43" s="212">
        <v>0</v>
      </c>
    </row>
    <row r="44" spans="1:4" ht="15" customHeight="1">
      <c r="A44" s="118" t="s">
        <v>211</v>
      </c>
      <c r="B44" s="179">
        <v>30862000</v>
      </c>
      <c r="C44" s="245">
        <v>2.3300000000000001E-2</v>
      </c>
    </row>
    <row r="45" spans="1:4" ht="15" customHeight="1">
      <c r="A45" s="118" t="s">
        <v>147</v>
      </c>
      <c r="B45" s="179">
        <v>981005523</v>
      </c>
      <c r="C45" s="245">
        <v>0.73950000000000005</v>
      </c>
      <c r="D45" s="212">
        <v>0</v>
      </c>
    </row>
    <row r="46" spans="1:4" ht="15" customHeight="1">
      <c r="A46" s="118" t="s">
        <v>208</v>
      </c>
      <c r="B46" s="179">
        <v>166023646</v>
      </c>
      <c r="C46" s="245">
        <v>0.12509999999999999</v>
      </c>
      <c r="D46" s="190">
        <v>0</v>
      </c>
    </row>
    <row r="47" spans="1:4" ht="15" customHeight="1">
      <c r="A47" s="118" t="s">
        <v>230</v>
      </c>
      <c r="B47" s="179">
        <v>6652031</v>
      </c>
      <c r="C47" s="245">
        <v>5.0000000000000001E-3</v>
      </c>
      <c r="D47" s="118"/>
    </row>
    <row r="48" spans="1:4" ht="15" hidden="1" customHeight="1">
      <c r="A48" s="118" t="s">
        <v>262</v>
      </c>
      <c r="B48" s="179">
        <v>0</v>
      </c>
      <c r="C48" s="245">
        <v>0</v>
      </c>
    </row>
    <row r="49" spans="1:5" ht="15" customHeight="1">
      <c r="A49" s="118" t="s">
        <v>207</v>
      </c>
      <c r="B49" s="179">
        <v>4380966</v>
      </c>
      <c r="C49" s="245">
        <v>3.3E-3</v>
      </c>
      <c r="D49" s="190">
        <v>0</v>
      </c>
    </row>
    <row r="50" spans="1:5" ht="15" customHeight="1">
      <c r="A50" s="117" t="s">
        <v>209</v>
      </c>
      <c r="B50" s="180">
        <v>1326598004</v>
      </c>
      <c r="C50" s="181">
        <v>1</v>
      </c>
    </row>
    <row r="51" spans="1:5" ht="15" customHeight="1">
      <c r="A51" s="118"/>
    </row>
    <row r="52" spans="1:5" ht="15" customHeight="1">
      <c r="A52" s="118"/>
      <c r="B52" s="118"/>
      <c r="C52" s="118"/>
    </row>
    <row r="53" spans="1:5" ht="15" hidden="1" customHeight="1">
      <c r="A53" s="118"/>
      <c r="B53" s="118"/>
      <c r="C53" s="118"/>
      <c r="D53" s="40"/>
    </row>
    <row r="54" spans="1:5" ht="15" hidden="1" customHeight="1">
      <c r="A54" s="118"/>
      <c r="B54" s="118"/>
      <c r="C54" s="118"/>
      <c r="D54" s="40"/>
    </row>
    <row r="55" spans="1:5" ht="15" hidden="1" customHeight="1">
      <c r="A55" s="118"/>
      <c r="B55" s="118"/>
      <c r="C55" s="118"/>
      <c r="D55" s="40"/>
      <c r="E55" s="246"/>
    </row>
    <row r="56" spans="1:5" ht="15" hidden="1" customHeight="1">
      <c r="A56" s="118"/>
      <c r="B56" s="118"/>
      <c r="C56" s="118"/>
    </row>
    <row r="57" spans="1:5" ht="15" hidden="1" customHeight="1">
      <c r="A57" s="118"/>
      <c r="B57" s="118"/>
      <c r="C57" s="118"/>
    </row>
    <row r="58" spans="1:5" ht="15" hidden="1" customHeight="1">
      <c r="A58" s="118"/>
      <c r="B58" s="118"/>
      <c r="C58" s="118"/>
    </row>
    <row r="59" spans="1:5" ht="15" hidden="1" customHeight="1">
      <c r="A59" s="118"/>
      <c r="B59" s="118"/>
      <c r="C59" s="118"/>
    </row>
    <row r="60" spans="1:5" ht="15" hidden="1" customHeight="1">
      <c r="A60" s="118"/>
      <c r="B60" s="118"/>
      <c r="C60" s="118"/>
    </row>
    <row r="61" spans="1:5" ht="15" hidden="1" customHeight="1">
      <c r="A61" s="118"/>
      <c r="B61" s="118"/>
      <c r="C61" s="118"/>
    </row>
    <row r="62" spans="1:5" ht="15" hidden="1" customHeight="1">
      <c r="A62" s="118"/>
      <c r="B62" s="118"/>
      <c r="C62" s="118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C9" sqref="C9:F9"/>
    </sheetView>
  </sheetViews>
  <sheetFormatPr baseColWidth="10" defaultColWidth="0" defaultRowHeight="15" customHeight="1" zeroHeight="1"/>
  <cols>
    <col min="1" max="1" width="6" style="6" customWidth="1"/>
    <col min="2" max="2" width="33.44140625" style="6" customWidth="1"/>
    <col min="3" max="4" width="12" style="6" bestFit="1" customWidth="1"/>
    <col min="5" max="6" width="11.44140625" style="6" customWidth="1"/>
    <col min="7" max="16384" width="11.44140625" style="6" hidden="1"/>
  </cols>
  <sheetData>
    <row r="1" spans="2:5" ht="15" customHeight="1"/>
    <row r="2" spans="2:5" ht="15" customHeight="1"/>
    <row r="3" spans="2:5" ht="15" customHeight="1" thickBot="1">
      <c r="B3" s="18" t="s">
        <v>189</v>
      </c>
      <c r="C3" s="5" t="s">
        <v>294</v>
      </c>
      <c r="D3" s="5" t="s">
        <v>295</v>
      </c>
      <c r="E3" s="5" t="s">
        <v>95</v>
      </c>
    </row>
    <row r="4" spans="2:5" ht="15" customHeight="1">
      <c r="B4" s="3" t="s">
        <v>98</v>
      </c>
      <c r="C4" s="7">
        <v>282203771</v>
      </c>
      <c r="D4" s="7">
        <v>234194148</v>
      </c>
      <c r="E4" s="42">
        <v>0.20499999999999999</v>
      </c>
    </row>
    <row r="5" spans="2:5" ht="15" customHeight="1">
      <c r="B5" s="3" t="s">
        <v>99</v>
      </c>
      <c r="C5" s="7">
        <v>-176341951</v>
      </c>
      <c r="D5" s="7">
        <v>-150000484</v>
      </c>
      <c r="E5" s="42">
        <v>0.17599999999999999</v>
      </c>
    </row>
    <row r="6" spans="2:5" ht="15" customHeight="1">
      <c r="B6" s="3" t="s">
        <v>100</v>
      </c>
      <c r="C6" s="7">
        <v>-106260070</v>
      </c>
      <c r="D6" s="7">
        <v>-154372324</v>
      </c>
      <c r="E6" s="42">
        <v>-0.312</v>
      </c>
    </row>
    <row r="7" spans="2:5" ht="15" customHeight="1">
      <c r="B7" s="4" t="s">
        <v>171</v>
      </c>
      <c r="C7" s="9">
        <v>-398250</v>
      </c>
      <c r="D7" s="9">
        <v>-70178660</v>
      </c>
      <c r="E7" s="196">
        <v>-0.99399999999999999</v>
      </c>
    </row>
    <row r="8" spans="2:5" ht="15" customHeight="1">
      <c r="B8" s="4" t="s">
        <v>101</v>
      </c>
      <c r="C8" s="9">
        <v>108758431</v>
      </c>
      <c r="D8" s="9">
        <v>109156681</v>
      </c>
      <c r="E8" s="196">
        <v>-4.0000000000000001E-3</v>
      </c>
    </row>
    <row r="9" spans="2:5" ht="15" customHeight="1">
      <c r="C9" s="24"/>
      <c r="D9" s="24"/>
    </row>
    <row r="11" spans="2:5" ht="15" hidden="1" customHeight="1">
      <c r="C11" s="15"/>
    </row>
    <row r="12" spans="2:5" ht="15" hidden="1" customHeight="1">
      <c r="C12" s="15"/>
      <c r="D12" s="24"/>
    </row>
    <row r="13" spans="2:5" ht="15" hidden="1" customHeight="1">
      <c r="C13" s="15"/>
    </row>
    <row r="14" spans="2:5" ht="15" hidden="1" customHeight="1">
      <c r="C14" s="15"/>
    </row>
    <row r="15" spans="2:5" ht="15" hidden="1" customHeight="1">
      <c r="C15" s="15"/>
    </row>
    <row r="16" spans="2:5" ht="15" hidden="1" customHeight="1">
      <c r="C16" s="15"/>
    </row>
    <row r="17" spans="3:3" ht="15" hidden="1" customHeight="1">
      <c r="C17" s="15"/>
    </row>
    <row r="18" spans="3:3" ht="15" hidden="1" customHeight="1">
      <c r="C18" s="20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H17"/>
  <sheetViews>
    <sheetView showGridLines="0" workbookViewId="0">
      <selection activeCell="A18" sqref="A18:XFD1048576"/>
    </sheetView>
  </sheetViews>
  <sheetFormatPr baseColWidth="10" defaultColWidth="0" defaultRowHeight="15" customHeight="1" zeroHeight="1"/>
  <cols>
    <col min="1" max="1" width="8" style="14" bestFit="1" customWidth="1"/>
    <col min="2" max="2" width="35.44140625" style="14" bestFit="1" customWidth="1"/>
    <col min="3" max="3" width="8.5546875" style="14" customWidth="1"/>
    <col min="4" max="5" width="13.5546875" style="14" customWidth="1"/>
    <col min="6" max="6" width="11.44140625" style="14" customWidth="1"/>
    <col min="7" max="8" width="0" style="14" hidden="1"/>
    <col min="9" max="16384" width="11.44140625" style="14" hidden="1"/>
  </cols>
  <sheetData>
    <row r="1" spans="1:6" ht="15" customHeight="1"/>
    <row r="2" spans="1:6" ht="15" customHeight="1"/>
    <row r="3" spans="1:6" ht="15" customHeight="1" thickBot="1">
      <c r="B3" s="43"/>
      <c r="C3" s="34"/>
      <c r="D3" s="34" t="s">
        <v>294</v>
      </c>
      <c r="E3" s="34" t="s">
        <v>253</v>
      </c>
    </row>
    <row r="4" spans="1:6" ht="15" customHeight="1">
      <c r="B4" s="4" t="s">
        <v>7</v>
      </c>
      <c r="C4" s="3"/>
    </row>
    <row r="5" spans="1:6" ht="15" customHeight="1">
      <c r="A5" s="44"/>
      <c r="B5" s="3" t="s">
        <v>115</v>
      </c>
      <c r="C5" s="35" t="s">
        <v>8</v>
      </c>
      <c r="D5" s="45">
        <v>0.82</v>
      </c>
      <c r="E5" s="45">
        <v>0.76</v>
      </c>
      <c r="F5" s="46"/>
    </row>
    <row r="6" spans="1:6" ht="15" customHeight="1">
      <c r="A6" s="44"/>
      <c r="B6" s="3" t="s">
        <v>102</v>
      </c>
      <c r="C6" s="35" t="s">
        <v>8</v>
      </c>
      <c r="D6" s="45">
        <v>0.31</v>
      </c>
      <c r="E6" s="45">
        <v>0.3</v>
      </c>
      <c r="F6" s="46"/>
    </row>
    <row r="7" spans="1:6" ht="15" customHeight="1">
      <c r="B7" s="4" t="s">
        <v>9</v>
      </c>
      <c r="C7" s="3"/>
      <c r="D7" s="47"/>
      <c r="E7" s="47"/>
      <c r="F7" s="46"/>
    </row>
    <row r="8" spans="1:6" ht="15" customHeight="1">
      <c r="B8" s="3" t="s">
        <v>103</v>
      </c>
      <c r="C8" s="35" t="s">
        <v>8</v>
      </c>
      <c r="D8" s="45">
        <v>1.34</v>
      </c>
      <c r="E8" s="45">
        <v>1.73</v>
      </c>
      <c r="F8" s="46"/>
    </row>
    <row r="9" spans="1:6" ht="15" customHeight="1">
      <c r="A9" s="44"/>
      <c r="B9" s="3" t="s">
        <v>10</v>
      </c>
      <c r="C9" s="35" t="s">
        <v>8</v>
      </c>
      <c r="D9" s="45">
        <v>0.20369999999999999</v>
      </c>
      <c r="E9" s="45">
        <v>0.23530000000000001</v>
      </c>
      <c r="F9" s="46"/>
    </row>
    <row r="10" spans="1:6" ht="15" customHeight="1">
      <c r="A10" s="44"/>
      <c r="B10" s="3" t="s">
        <v>11</v>
      </c>
      <c r="C10" s="35" t="s">
        <v>8</v>
      </c>
      <c r="D10" s="45">
        <v>0.79630000000000001</v>
      </c>
      <c r="E10" s="45">
        <v>0.76470000000000005</v>
      </c>
      <c r="F10" s="46"/>
    </row>
    <row r="11" spans="1:6" ht="15" customHeight="1">
      <c r="A11" s="44"/>
      <c r="B11" s="3" t="s">
        <v>132</v>
      </c>
      <c r="C11" s="35" t="s">
        <v>8</v>
      </c>
      <c r="D11" s="45">
        <v>4.22</v>
      </c>
      <c r="E11" s="45">
        <v>4.42</v>
      </c>
      <c r="F11" s="46"/>
    </row>
    <row r="12" spans="1:6" ht="15" customHeight="1">
      <c r="B12" s="4" t="s">
        <v>12</v>
      </c>
      <c r="C12" s="3"/>
      <c r="D12" s="47"/>
      <c r="E12" s="47"/>
      <c r="F12" s="46"/>
    </row>
    <row r="13" spans="1:6" s="3" customFormat="1" ht="24">
      <c r="A13" s="273"/>
      <c r="B13" s="48" t="s">
        <v>133</v>
      </c>
      <c r="C13" s="35" t="s">
        <v>13</v>
      </c>
      <c r="D13" s="45">
        <v>11.42</v>
      </c>
      <c r="E13" s="45">
        <v>15.47</v>
      </c>
      <c r="F13" s="47"/>
    </row>
    <row r="14" spans="1:6" ht="15" customHeight="1">
      <c r="A14" s="44"/>
      <c r="B14" s="3" t="s">
        <v>134</v>
      </c>
      <c r="C14" s="35" t="s">
        <v>13</v>
      </c>
      <c r="D14" s="45">
        <v>4.5699999999999994</v>
      </c>
      <c r="E14" s="45">
        <v>5.7299999999999995</v>
      </c>
      <c r="F14" s="46"/>
    </row>
    <row r="15" spans="1:6" ht="15" customHeight="1">
      <c r="A15" s="44"/>
      <c r="B15" s="3" t="s">
        <v>135</v>
      </c>
      <c r="C15" s="35" t="s">
        <v>14</v>
      </c>
      <c r="D15" s="45">
        <v>20.32</v>
      </c>
      <c r="E15" s="45">
        <v>21.8</v>
      </c>
      <c r="F15" s="46"/>
    </row>
    <row r="16" spans="1:6" ht="15" customHeight="1">
      <c r="B16" s="3" t="s">
        <v>120</v>
      </c>
      <c r="C16" s="35" t="s">
        <v>13</v>
      </c>
      <c r="D16" s="45">
        <v>4.83</v>
      </c>
      <c r="E16" s="45">
        <v>5.18</v>
      </c>
      <c r="F16" s="46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92D050"/>
    <pageSetUpPr fitToPage="1"/>
  </sheetPr>
  <dimension ref="A1:O32"/>
  <sheetViews>
    <sheetView showGridLines="0" topLeftCell="A4" zoomScale="90" zoomScaleNormal="90" workbookViewId="0">
      <selection activeCell="I32" sqref="I32"/>
    </sheetView>
  </sheetViews>
  <sheetFormatPr baseColWidth="10" defaultColWidth="11.44140625" defaultRowHeight="13.8"/>
  <cols>
    <col min="1" max="1" width="7.5546875" style="92" customWidth="1"/>
    <col min="2" max="2" width="117" style="92" bestFit="1" customWidth="1"/>
    <col min="3" max="3" width="7.5546875" style="92" customWidth="1"/>
    <col min="4" max="4" width="12.44140625" style="92" bestFit="1" customWidth="1"/>
    <col min="5" max="5" width="13.6640625" style="92" customWidth="1"/>
    <col min="6" max="7" width="11.44140625" style="92" hidden="1" customWidth="1"/>
    <col min="8" max="8" width="5" style="92" customWidth="1"/>
    <col min="9" max="9" width="11.44140625" style="148"/>
    <col min="10" max="11" width="12.5546875" style="149" customWidth="1"/>
    <col min="12" max="12" width="0" style="148" hidden="1" customWidth="1"/>
    <col min="13" max="13" width="12.5546875" style="149" hidden="1" customWidth="1"/>
    <col min="14" max="16384" width="11.44140625" style="92"/>
  </cols>
  <sheetData>
    <row r="1" spans="1:15">
      <c r="C1" s="108"/>
    </row>
    <row r="2" spans="1:15" ht="14.4" thickBot="1">
      <c r="C2" s="108"/>
      <c r="I2" s="295" t="s">
        <v>152</v>
      </c>
      <c r="J2" s="295"/>
      <c r="K2" s="183"/>
      <c r="L2" s="295" t="s">
        <v>153</v>
      </c>
      <c r="M2" s="295"/>
    </row>
    <row r="3" spans="1:15" s="84" customFormat="1" ht="26.4">
      <c r="A3" s="109"/>
      <c r="B3" s="289" t="s">
        <v>194</v>
      </c>
      <c r="C3" s="291" t="s">
        <v>26</v>
      </c>
      <c r="D3" s="204">
        <v>45565</v>
      </c>
      <c r="E3" s="204">
        <v>45199</v>
      </c>
      <c r="F3" s="231" t="s">
        <v>266</v>
      </c>
      <c r="G3" s="231" t="s">
        <v>267</v>
      </c>
      <c r="I3" s="293" t="s">
        <v>151</v>
      </c>
      <c r="J3" s="294"/>
      <c r="K3" s="184"/>
      <c r="L3" s="293" t="s">
        <v>151</v>
      </c>
      <c r="M3" s="294"/>
    </row>
    <row r="4" spans="1:15" s="84" customFormat="1" ht="16.5" customHeight="1">
      <c r="B4" s="290"/>
      <c r="C4" s="292"/>
      <c r="D4" s="54" t="s">
        <v>5</v>
      </c>
      <c r="E4" s="54" t="s">
        <v>5</v>
      </c>
      <c r="F4" s="232" t="s">
        <v>5</v>
      </c>
      <c r="G4" s="239" t="s">
        <v>5</v>
      </c>
      <c r="I4" s="151" t="s">
        <v>5</v>
      </c>
      <c r="J4" s="152" t="s">
        <v>13</v>
      </c>
      <c r="K4" s="185"/>
      <c r="L4" s="151" t="s">
        <v>5</v>
      </c>
      <c r="M4" s="152"/>
    </row>
    <row r="5" spans="1:15" s="84" customFormat="1" ht="21" customHeight="1">
      <c r="B5" s="66" t="s">
        <v>195</v>
      </c>
      <c r="C5" s="58">
        <v>25</v>
      </c>
      <c r="D5" s="56">
        <f>+VLOOKUP(B5,[1]Resultado!$B:$G,3,0)</f>
        <v>662701294</v>
      </c>
      <c r="E5" s="56">
        <f>+VLOOKUP(B5,[1]Resultado!$B:$G,4,0)</f>
        <v>640855854</v>
      </c>
      <c r="F5" s="56">
        <f>+VLOOKUP(B5,[1]Resultado!$B:$G,5,0)</f>
        <v>0</v>
      </c>
      <c r="G5" s="56">
        <f>+VLOOKUP(B5,[1]Resultado!$B:$G,6,0)</f>
        <v>21845440</v>
      </c>
      <c r="H5" s="83"/>
      <c r="I5" s="132">
        <f t="shared" ref="I5:I11" si="0">+ROUND((D5-E5),0)</f>
        <v>21845440</v>
      </c>
      <c r="J5" s="156">
        <f t="shared" ref="J5:J11" si="1">IFERROR(I5/E5,1)</f>
        <v>3.4087915189739373E-2</v>
      </c>
      <c r="K5" s="186"/>
      <c r="L5" s="132" t="e">
        <f>+ROUND((#REF!-#REF!),0)</f>
        <v>#REF!</v>
      </c>
      <c r="M5" s="156">
        <f>IFERROR(L5/#REF!,1)</f>
        <v>1</v>
      </c>
      <c r="N5" s="17"/>
      <c r="O5" s="83"/>
    </row>
    <row r="6" spans="1:15" s="84" customFormat="1" ht="21" customHeight="1">
      <c r="B6" s="66" t="s">
        <v>23</v>
      </c>
      <c r="C6" s="58"/>
      <c r="D6" s="56">
        <f>+VLOOKUP(B6,[1]Resultado!$B:$G,3,0)</f>
        <v>-82122248</v>
      </c>
      <c r="E6" s="56">
        <f>+VLOOKUP(B6,[1]Resultado!$B:$G,4,0)</f>
        <v>-85361668</v>
      </c>
      <c r="F6" s="56">
        <f>+VLOOKUP(B6,[1]Resultado!$B:$G,5,0)</f>
        <v>0</v>
      </c>
      <c r="G6" s="56">
        <f>+VLOOKUP(B6,[1]Resultado!$B:$G,6,0)</f>
        <v>3239420</v>
      </c>
      <c r="H6" s="83"/>
      <c r="I6" s="132">
        <f t="shared" si="0"/>
        <v>3239420</v>
      </c>
      <c r="J6" s="156">
        <f t="shared" si="1"/>
        <v>-3.7949352161206595E-2</v>
      </c>
      <c r="K6" s="186"/>
      <c r="L6" s="132" t="e">
        <f>+ROUND((#REF!-#REF!),0)</f>
        <v>#REF!</v>
      </c>
      <c r="M6" s="156">
        <f>IFERROR(L6/#REF!,1)</f>
        <v>1</v>
      </c>
      <c r="N6" s="17"/>
      <c r="O6" s="17">
        <v>10052956</v>
      </c>
    </row>
    <row r="7" spans="1:15" s="84" customFormat="1" ht="21" customHeight="1">
      <c r="B7" s="66" t="s">
        <v>18</v>
      </c>
      <c r="C7" s="58">
        <v>20</v>
      </c>
      <c r="D7" s="56">
        <f>+VLOOKUP(B7,[1]Resultado!$B:$G,3,0)</f>
        <v>-83142518</v>
      </c>
      <c r="E7" s="56">
        <f>+VLOOKUP(B7,[1]Resultado!$B:$G,4,0)</f>
        <v>-76458923</v>
      </c>
      <c r="F7" s="56">
        <f>+VLOOKUP(B7,[1]Resultado!$B:$G,5,0)</f>
        <v>0</v>
      </c>
      <c r="G7" s="56">
        <f>+VLOOKUP(B7,[1]Resultado!$B:$G,6,0)</f>
        <v>-6683595</v>
      </c>
      <c r="H7" s="83"/>
      <c r="I7" s="132">
        <f t="shared" si="0"/>
        <v>-6683595</v>
      </c>
      <c r="J7" s="156">
        <f t="shared" si="1"/>
        <v>8.7414192323896578E-2</v>
      </c>
      <c r="K7" s="186"/>
      <c r="L7" s="132" t="e">
        <f>+ROUND((#REF!-#REF!),0)</f>
        <v>#REF!</v>
      </c>
      <c r="M7" s="156">
        <f>IFERROR(L7/#REF!,1)</f>
        <v>1</v>
      </c>
      <c r="N7" s="17"/>
      <c r="O7" s="17">
        <v>-49334397</v>
      </c>
    </row>
    <row r="8" spans="1:15" s="84" customFormat="1" ht="21" customHeight="1">
      <c r="B8" s="66" t="s">
        <v>233</v>
      </c>
      <c r="C8" s="58" t="s">
        <v>258</v>
      </c>
      <c r="D8" s="56">
        <f>+VLOOKUP(B8,[1]Resultado!$B:$G,3,0)</f>
        <v>-82220591</v>
      </c>
      <c r="E8" s="56">
        <f>+VLOOKUP(B8,[1]Resultado!$B:$G,4,0)</f>
        <v>-77689350</v>
      </c>
      <c r="F8" s="56">
        <f>+VLOOKUP(B8,[1]Resultado!$B:$G,5,0)</f>
        <v>0</v>
      </c>
      <c r="G8" s="56">
        <f>+VLOOKUP(B8,[1]Resultado!$B:$G,6,0)</f>
        <v>-4531241</v>
      </c>
      <c r="H8" s="83"/>
      <c r="I8" s="132">
        <f t="shared" si="0"/>
        <v>-4531241</v>
      </c>
      <c r="J8" s="156">
        <f t="shared" si="1"/>
        <v>5.8325124357456973E-2</v>
      </c>
      <c r="K8" s="186"/>
      <c r="L8" s="132" t="e">
        <f>+ROUND((#REF!-#REF!),0)</f>
        <v>#REF!</v>
      </c>
      <c r="M8" s="156">
        <f>IFERROR(L8/#REF!,1)</f>
        <v>1</v>
      </c>
      <c r="N8" s="17"/>
      <c r="O8" s="17">
        <v>349033</v>
      </c>
    </row>
    <row r="9" spans="1:15" s="84" customFormat="1" ht="21" customHeight="1">
      <c r="B9" s="68" t="s">
        <v>234</v>
      </c>
      <c r="C9" s="67" t="s">
        <v>259</v>
      </c>
      <c r="D9" s="56">
        <f>+VLOOKUP(B9,[1]Resultado!$B:$G,3,0)</f>
        <v>-7163962</v>
      </c>
      <c r="E9" s="56">
        <f>+VLOOKUP(B9,[1]Resultado!$B:$G,4,0)</f>
        <v>-12316346</v>
      </c>
      <c r="F9" s="56">
        <f>+VLOOKUP(B9,[1]Resultado!$B:$G,5,0)</f>
        <v>0</v>
      </c>
      <c r="G9" s="56">
        <f>+VLOOKUP(B9,[1]Resultado!$B:$G,6,0)</f>
        <v>5152384</v>
      </c>
      <c r="H9" s="83"/>
      <c r="I9" s="132">
        <f t="shared" si="0"/>
        <v>5152384</v>
      </c>
      <c r="J9" s="156">
        <f t="shared" si="1"/>
        <v>-0.41833706198250681</v>
      </c>
      <c r="K9" s="186"/>
      <c r="L9" s="132" t="e">
        <f>+ROUND((#REF!-#REF!),0)</f>
        <v>#REF!</v>
      </c>
      <c r="M9" s="156">
        <f>IFERROR(L9/#REF!,1)</f>
        <v>1</v>
      </c>
      <c r="N9" s="25"/>
      <c r="O9" s="17">
        <v>-45945172</v>
      </c>
    </row>
    <row r="10" spans="1:15" s="84" customFormat="1" ht="21" customHeight="1">
      <c r="B10" s="66" t="s">
        <v>19</v>
      </c>
      <c r="C10" s="58">
        <v>26</v>
      </c>
      <c r="D10" s="56">
        <f>+VLOOKUP(B10,[1]Resultado!$B:$G,3,0)</f>
        <v>-164836148</v>
      </c>
      <c r="E10" s="56">
        <f>+VLOOKUP(B10,[1]Resultado!$B:$G,4,0)</f>
        <v>-148430974</v>
      </c>
      <c r="F10" s="56">
        <f>+VLOOKUP(B10,[1]Resultado!$B:$G,5,0)</f>
        <v>0</v>
      </c>
      <c r="G10" s="56">
        <f>+VLOOKUP(B10,[1]Resultado!$B:$G,6,0)</f>
        <v>-16405174</v>
      </c>
      <c r="H10" s="83"/>
      <c r="I10" s="132">
        <f t="shared" si="0"/>
        <v>-16405174</v>
      </c>
      <c r="J10" s="156">
        <f t="shared" si="1"/>
        <v>0.11052392609105967</v>
      </c>
      <c r="K10" s="186"/>
      <c r="L10" s="132" t="e">
        <f>+ROUND((#REF!-#REF!),0)</f>
        <v>#REF!</v>
      </c>
      <c r="M10" s="156">
        <f>IFERROR(L10/#REF!,1)</f>
        <v>1</v>
      </c>
      <c r="N10" s="17"/>
      <c r="O10" s="25">
        <v>-84877579</v>
      </c>
    </row>
    <row r="11" spans="1:15" s="84" customFormat="1" ht="21" customHeight="1">
      <c r="B11" s="66" t="s">
        <v>188</v>
      </c>
      <c r="C11" s="58">
        <v>27</v>
      </c>
      <c r="D11" s="56">
        <f>+VLOOKUP(B11,[1]Resultado!$B:$G,3,0)</f>
        <v>526770</v>
      </c>
      <c r="E11" s="56">
        <f>+VLOOKUP(B11,[1]Resultado!$B:$G,4,0)</f>
        <v>3336545</v>
      </c>
      <c r="F11" s="56">
        <f>+VLOOKUP(B11,[1]Resultado!$B:$G,5,0)</f>
        <v>0</v>
      </c>
      <c r="G11" s="56">
        <f>+VLOOKUP(B11,[1]Resultado!$B:$G,6,0)</f>
        <v>-2809775</v>
      </c>
      <c r="H11" s="83"/>
      <c r="I11" s="132">
        <f t="shared" si="0"/>
        <v>-2809775</v>
      </c>
      <c r="J11" s="156">
        <f t="shared" si="1"/>
        <v>-0.84212111630444064</v>
      </c>
      <c r="K11" s="186"/>
      <c r="L11" s="132" t="e">
        <f>+ROUND((#REF!-#REF!),0)</f>
        <v>#REF!</v>
      </c>
      <c r="M11" s="156">
        <f>IFERROR(L11/#REF!,1)</f>
        <v>1</v>
      </c>
      <c r="N11" s="25"/>
      <c r="O11" s="17">
        <v>310125</v>
      </c>
    </row>
    <row r="12" spans="1:15" s="84" customFormat="1" ht="21" customHeight="1">
      <c r="B12" s="167" t="s">
        <v>204</v>
      </c>
      <c r="C12" s="168"/>
      <c r="D12" s="168">
        <f>+SUM(D5:D11)</f>
        <v>243742597</v>
      </c>
      <c r="E12" s="168">
        <f>+SUM(E5:E11)</f>
        <v>243935138</v>
      </c>
      <c r="F12" s="168">
        <f>+SUM(F5:F11)</f>
        <v>0</v>
      </c>
      <c r="G12" s="168">
        <f>+SUM(G5:G11)</f>
        <v>-192541</v>
      </c>
      <c r="H12" s="83"/>
      <c r="I12" s="132"/>
      <c r="J12" s="156"/>
      <c r="K12" s="186"/>
      <c r="L12" s="132"/>
      <c r="M12" s="156"/>
      <c r="O12" s="17">
        <v>-34306718</v>
      </c>
    </row>
    <row r="13" spans="1:15" s="84" customFormat="1" ht="21" customHeight="1">
      <c r="B13" s="66" t="s">
        <v>22</v>
      </c>
      <c r="C13" s="58">
        <v>27</v>
      </c>
      <c r="D13" s="56">
        <f>+VLOOKUP(B13,[1]Resultado!$B:$G,3,0)</f>
        <v>10052956</v>
      </c>
      <c r="E13" s="56">
        <f>+VLOOKUP(B13,[1]Resultado!$B:$G,4,0)</f>
        <v>15927907</v>
      </c>
      <c r="F13" s="56">
        <f>+VLOOKUP(B13,[1]Resultado!$B:$G,5,0)</f>
        <v>0</v>
      </c>
      <c r="G13" s="56">
        <f>+VLOOKUP(B13,[1]Resultado!$B:$G,6,0)</f>
        <v>-5874951</v>
      </c>
      <c r="H13" s="83"/>
      <c r="I13" s="132">
        <f>+ROUND((D13-E13),0)</f>
        <v>-5874951</v>
      </c>
      <c r="J13" s="156">
        <f>IFERROR(I13/E13,1)</f>
        <v>-0.36884639017543236</v>
      </c>
      <c r="K13" s="186"/>
      <c r="L13" s="132" t="e">
        <f>+ROUND((#REF!-#REF!),0)</f>
        <v>#REF!</v>
      </c>
      <c r="M13" s="156">
        <f>IFERROR(L13/#REF!,1)</f>
        <v>1</v>
      </c>
    </row>
    <row r="14" spans="1:15" s="84" customFormat="1" ht="21" customHeight="1">
      <c r="B14" s="66" t="s">
        <v>235</v>
      </c>
      <c r="C14" s="58">
        <v>27</v>
      </c>
      <c r="D14" s="56">
        <f>+VLOOKUP(B14,[1]Resultado!$B:$G,3,0)</f>
        <v>-49334397</v>
      </c>
      <c r="E14" s="56">
        <f>+VLOOKUP(B14,[1]Resultado!$B:$G,4,0)</f>
        <v>-48849432</v>
      </c>
      <c r="F14" s="56">
        <f>+VLOOKUP(B14,[1]Resultado!$B:$G,5,0)</f>
        <v>0</v>
      </c>
      <c r="G14" s="56">
        <f>+VLOOKUP(B14,[1]Resultado!$B:$G,6,0)</f>
        <v>-484965</v>
      </c>
      <c r="H14" s="83"/>
      <c r="I14" s="132">
        <f>+ROUND((D14-E14),0)</f>
        <v>-484965</v>
      </c>
      <c r="J14" s="156">
        <f>IFERROR(I14/E14,1)</f>
        <v>9.9277510534820541E-3</v>
      </c>
      <c r="K14" s="186"/>
      <c r="L14" s="132" t="e">
        <f>+ROUND((#REF!-#REF!),0)</f>
        <v>#REF!</v>
      </c>
      <c r="M14" s="156">
        <f>IFERROR(L14/#REF!,1)</f>
        <v>1</v>
      </c>
    </row>
    <row r="15" spans="1:15" s="84" customFormat="1" ht="21" customHeight="1">
      <c r="B15" s="274" t="s">
        <v>287</v>
      </c>
      <c r="C15" s="275"/>
      <c r="D15" s="276">
        <f>+VLOOKUP(B15,[1]Resultado!$B:$G,3,0)</f>
        <v>-216645</v>
      </c>
      <c r="E15" s="276">
        <v>0</v>
      </c>
      <c r="F15" s="56"/>
      <c r="G15" s="56"/>
      <c r="H15" s="83"/>
      <c r="I15" s="132"/>
      <c r="J15" s="156"/>
      <c r="K15" s="186"/>
      <c r="L15" s="132"/>
      <c r="M15" s="156"/>
    </row>
    <row r="16" spans="1:15" s="84" customFormat="1" ht="21" customHeight="1">
      <c r="B16" s="66" t="s">
        <v>205</v>
      </c>
      <c r="C16" s="58">
        <v>28</v>
      </c>
      <c r="D16" s="56">
        <f>+VLOOKUP(B16,[1]Resultado!$B:$G,3,0)</f>
        <v>349033</v>
      </c>
      <c r="E16" s="56">
        <f>+VLOOKUP(B16,[1]Resultado!$B:$G,4,0)</f>
        <v>2645936</v>
      </c>
      <c r="F16" s="56">
        <f>+VLOOKUP(B16,[1]Resultado!$B:$G,5,0)</f>
        <v>0</v>
      </c>
      <c r="G16" s="56">
        <f>+VLOOKUP(B16,[1]Resultado!$B:$G,6,0)</f>
        <v>-2296903</v>
      </c>
      <c r="H16" s="83"/>
      <c r="I16" s="132">
        <f>+ROUND((D16-E16),0)</f>
        <v>-2296903</v>
      </c>
      <c r="J16" s="156">
        <f>IFERROR(I16/E16,1)</f>
        <v>-0.86808713438269103</v>
      </c>
      <c r="K16" s="186"/>
      <c r="L16" s="132" t="e">
        <f>+ROUND((#REF!-#REF!),0)</f>
        <v>#REF!</v>
      </c>
      <c r="M16" s="156">
        <f>IFERROR(L16/#REF!,1)</f>
        <v>1</v>
      </c>
    </row>
    <row r="17" spans="2:13" s="84" customFormat="1" ht="21" customHeight="1">
      <c r="B17" s="66" t="s">
        <v>236</v>
      </c>
      <c r="C17" s="58">
        <v>29</v>
      </c>
      <c r="D17" s="56">
        <f>+VLOOKUP(B17,[1]Resultado!$B:$G,3,0)</f>
        <v>-45945172</v>
      </c>
      <c r="E17" s="56">
        <f>+VLOOKUP(B17,[1]Resultado!$B:$G,4,0)</f>
        <v>-46357996</v>
      </c>
      <c r="F17" s="56">
        <f>+VLOOKUP(B17,[1]Resultado!$B:$G,5,0)</f>
        <v>0</v>
      </c>
      <c r="G17" s="56">
        <f>+VLOOKUP(B17,[1]Resultado!$B:$G,6,0)</f>
        <v>412824</v>
      </c>
      <c r="H17" s="83"/>
      <c r="I17" s="132">
        <f>+ROUND((D17-E17),0)</f>
        <v>412824</v>
      </c>
      <c r="J17" s="156">
        <f>IFERROR(I17/E17,1)</f>
        <v>-8.9051304115906997E-3</v>
      </c>
      <c r="K17" s="186"/>
      <c r="L17" s="132" t="e">
        <f>+ROUND((#REF!-#REF!),0)</f>
        <v>#REF!</v>
      </c>
      <c r="M17" s="156">
        <f>IFERROR(L17/#REF!,1)</f>
        <v>1</v>
      </c>
    </row>
    <row r="18" spans="2:13" s="84" customFormat="1" ht="21" customHeight="1" thickBot="1">
      <c r="B18" s="66" t="s">
        <v>213</v>
      </c>
      <c r="C18" s="58"/>
      <c r="D18" s="56"/>
      <c r="E18" s="56"/>
      <c r="F18" s="233"/>
      <c r="G18" s="57"/>
      <c r="H18" s="83"/>
      <c r="I18" s="132"/>
      <c r="J18" s="156"/>
      <c r="K18" s="186"/>
      <c r="L18" s="132"/>
      <c r="M18" s="156"/>
    </row>
    <row r="19" spans="2:13" s="84" customFormat="1" ht="21" customHeight="1" thickBot="1">
      <c r="B19" s="70" t="s">
        <v>165</v>
      </c>
      <c r="C19" s="71"/>
      <c r="D19" s="72">
        <f>SUM(D12:D17)</f>
        <v>158648372</v>
      </c>
      <c r="E19" s="72">
        <f>SUM(E12:E17)</f>
        <v>167301553</v>
      </c>
      <c r="F19" s="234">
        <f t="shared" ref="F19:G19" si="2">SUM(F12:F17)</f>
        <v>0</v>
      </c>
      <c r="G19" s="240">
        <f t="shared" si="2"/>
        <v>-8436536</v>
      </c>
      <c r="H19" s="83"/>
      <c r="I19" s="154">
        <f>+ROUND((D19-E19),0)</f>
        <v>-8653181</v>
      </c>
      <c r="J19" s="159">
        <f>IFERROR(I19/E19,1)</f>
        <v>-5.1722060224987869E-2</v>
      </c>
      <c r="K19" s="187"/>
      <c r="L19" s="154" t="e">
        <f>+ROUND((#REF!-#REF!),0)</f>
        <v>#REF!</v>
      </c>
      <c r="M19" s="159">
        <f>IFERROR(L19/#REF!,1)</f>
        <v>1</v>
      </c>
    </row>
    <row r="20" spans="2:13" s="84" customFormat="1" ht="21" customHeight="1" thickBot="1">
      <c r="B20" s="66" t="s">
        <v>237</v>
      </c>
      <c r="C20" s="58">
        <v>16</v>
      </c>
      <c r="D20" s="56">
        <f>+VLOOKUP(B20,[1]Resultado!$B:$G,3,0)</f>
        <v>-34306718</v>
      </c>
      <c r="E20" s="56">
        <f>+VLOOKUP(B20,[1]Resultado!$B:$G,4,0)</f>
        <v>-33909237</v>
      </c>
      <c r="F20" s="56">
        <f>+VLOOKUP(B20,[1]Resultado!$B:$G,5,0)</f>
        <v>0</v>
      </c>
      <c r="G20" s="56">
        <f>+VLOOKUP(B20,[1]Resultado!$B:$G,6,0)</f>
        <v>-397481</v>
      </c>
      <c r="H20" s="83"/>
      <c r="I20" s="132">
        <f>+ROUND((D20-E20),0)</f>
        <v>-397481</v>
      </c>
      <c r="J20" s="156">
        <f>IFERROR(I20/E20,1)</f>
        <v>1.1721909283892174E-2</v>
      </c>
      <c r="K20" s="186"/>
      <c r="L20" s="132" t="e">
        <f>+ROUND((#REF!-#REF!),0)</f>
        <v>#REF!</v>
      </c>
      <c r="M20" s="156">
        <f>IFERROR(L20/#REF!,1)</f>
        <v>1</v>
      </c>
    </row>
    <row r="21" spans="2:13" s="84" customFormat="1" ht="21" customHeight="1" thickBot="1">
      <c r="B21" s="70" t="s">
        <v>166</v>
      </c>
      <c r="C21" s="73"/>
      <c r="D21" s="72">
        <f>+D19+D20</f>
        <v>124341654</v>
      </c>
      <c r="E21" s="72">
        <f>+E19+E20</f>
        <v>133392316</v>
      </c>
      <c r="F21" s="234">
        <f t="shared" ref="F21:G21" si="3">+F19+F20</f>
        <v>0</v>
      </c>
      <c r="G21" s="240">
        <f t="shared" si="3"/>
        <v>-8834017</v>
      </c>
      <c r="H21" s="83"/>
      <c r="I21" s="154">
        <f>+ROUND((D21-E21),0)</f>
        <v>-9050662</v>
      </c>
      <c r="J21" s="159">
        <f>IFERROR(I21/E21,1)</f>
        <v>-6.784995021752227E-2</v>
      </c>
      <c r="K21" s="187"/>
      <c r="L21" s="154" t="e">
        <f>+ROUND((#REF!-#REF!),0)</f>
        <v>#REF!</v>
      </c>
      <c r="M21" s="159">
        <f>IFERROR(L21/#REF!,1)</f>
        <v>1</v>
      </c>
    </row>
    <row r="22" spans="2:13" s="84" customFormat="1" ht="23.25" customHeight="1">
      <c r="B22" s="68" t="s">
        <v>214</v>
      </c>
      <c r="C22" s="74"/>
      <c r="D22" s="56">
        <v>0</v>
      </c>
      <c r="E22" s="56">
        <v>0</v>
      </c>
      <c r="F22" s="56">
        <v>0</v>
      </c>
      <c r="G22" s="56">
        <v>0</v>
      </c>
      <c r="H22" s="83"/>
      <c r="I22" s="132">
        <f>+ROUND((D22-E22),0)</f>
        <v>0</v>
      </c>
      <c r="J22" s="156">
        <f>IFERROR(I22/E22,1)</f>
        <v>1</v>
      </c>
      <c r="K22" s="186"/>
      <c r="L22" s="132" t="e">
        <f>+ROUND((#REF!-#REF!),0)</f>
        <v>#REF!</v>
      </c>
      <c r="M22" s="156">
        <f>IFERROR(L22/#REF!,1)</f>
        <v>1</v>
      </c>
    </row>
    <row r="23" spans="2:13" s="84" customFormat="1" ht="23.25" customHeight="1" thickBot="1">
      <c r="B23" s="68"/>
      <c r="C23" s="74"/>
      <c r="D23" s="56"/>
      <c r="E23" s="56"/>
      <c r="F23" s="233"/>
      <c r="G23" s="57"/>
      <c r="H23" s="83"/>
      <c r="I23" s="132"/>
      <c r="J23" s="156"/>
      <c r="K23" s="186"/>
      <c r="L23" s="132"/>
      <c r="M23" s="156"/>
    </row>
    <row r="24" spans="2:13" s="84" customFormat="1" ht="21" customHeight="1" thickBot="1">
      <c r="B24" s="70" t="s">
        <v>48</v>
      </c>
      <c r="C24" s="73"/>
      <c r="D24" s="72">
        <f>+D21+D22</f>
        <v>124341654</v>
      </c>
      <c r="E24" s="72">
        <f t="shared" ref="E24:G24" si="4">+E21+E22</f>
        <v>133392316</v>
      </c>
      <c r="F24" s="234">
        <f t="shared" si="4"/>
        <v>0</v>
      </c>
      <c r="G24" s="240">
        <f t="shared" si="4"/>
        <v>-8834017</v>
      </c>
      <c r="H24" s="83"/>
      <c r="I24" s="154">
        <f>+ROUND((D24-E24),0)</f>
        <v>-9050662</v>
      </c>
      <c r="J24" s="159">
        <f>IFERROR(I24/E24,1)</f>
        <v>-6.784995021752227E-2</v>
      </c>
      <c r="K24" s="187"/>
      <c r="L24" s="154" t="e">
        <f>+ROUND((#REF!-#REF!),0)</f>
        <v>#REF!</v>
      </c>
      <c r="M24" s="159">
        <f>IFERROR(L24/#REF!,1)</f>
        <v>1</v>
      </c>
    </row>
    <row r="25" spans="2:13" s="84" customFormat="1" ht="21" customHeight="1" thickBot="1">
      <c r="B25" s="75" t="s">
        <v>167</v>
      </c>
      <c r="C25" s="76" t="s">
        <v>4</v>
      </c>
      <c r="D25" s="77"/>
      <c r="E25" s="69"/>
      <c r="F25" s="235"/>
      <c r="G25" s="241"/>
      <c r="H25" s="83"/>
      <c r="I25" s="132"/>
      <c r="J25" s="156"/>
      <c r="K25" s="186"/>
      <c r="L25" s="132"/>
      <c r="M25" s="156"/>
    </row>
    <row r="26" spans="2:13" s="84" customFormat="1" ht="21" customHeight="1" thickBot="1">
      <c r="B26" s="78" t="s">
        <v>24</v>
      </c>
      <c r="C26" s="73"/>
      <c r="D26" s="79">
        <f>+D24-D27</f>
        <v>124339646</v>
      </c>
      <c r="E26" s="79">
        <f>+E24-E27</f>
        <v>133390421</v>
      </c>
      <c r="F26" s="79">
        <f t="shared" ref="F26:G26" si="5">+F24-F27</f>
        <v>0</v>
      </c>
      <c r="G26" s="79">
        <f t="shared" si="5"/>
        <v>-8834130</v>
      </c>
      <c r="H26" s="83"/>
      <c r="I26" s="154">
        <f>+ROUND((D26-E26),0)</f>
        <v>-9050775</v>
      </c>
      <c r="J26" s="159">
        <f>IFERROR(I26/E26,1)</f>
        <v>-6.785176125952852E-2</v>
      </c>
      <c r="K26" s="187"/>
      <c r="L26" s="154" t="e">
        <f>+ROUND((#REF!-#REF!),0)</f>
        <v>#REF!</v>
      </c>
      <c r="M26" s="159">
        <f>IFERROR(L26/#REF!,1)</f>
        <v>1</v>
      </c>
    </row>
    <row r="27" spans="2:13" s="84" customFormat="1" ht="21" customHeight="1" thickBot="1">
      <c r="B27" s="68" t="s">
        <v>257</v>
      </c>
      <c r="C27" s="58">
        <v>23</v>
      </c>
      <c r="D27" s="56">
        <f>+VLOOKUP(B27,[1]Resultado!$B:$G,3,0)</f>
        <v>2008</v>
      </c>
      <c r="E27" s="56">
        <f>+VLOOKUP(B27,[1]Resultado!$B:$G,4,0)</f>
        <v>1895</v>
      </c>
      <c r="F27" s="56">
        <f>+VLOOKUP(B27,[1]Resultado!$B:$G,5,0)</f>
        <v>0</v>
      </c>
      <c r="G27" s="56">
        <f>+VLOOKUP(B27,[1]Resultado!$B:$G,6,0)</f>
        <v>113</v>
      </c>
      <c r="H27" s="83"/>
      <c r="I27" s="132">
        <f>+ROUND((D27-E27),0)</f>
        <v>113</v>
      </c>
      <c r="J27" s="156">
        <f>IFERROR(I27/E27,1)</f>
        <v>5.9630606860158308E-2</v>
      </c>
      <c r="K27" s="186"/>
      <c r="L27" s="132" t="e">
        <f>+ROUND((#REF!-#REF!),0)</f>
        <v>#REF!</v>
      </c>
      <c r="M27" s="156">
        <f>IFERROR(L27/#REF!,1)</f>
        <v>1</v>
      </c>
    </row>
    <row r="28" spans="2:13" s="84" customFormat="1" ht="21" customHeight="1" thickBot="1">
      <c r="B28" s="80" t="s">
        <v>49</v>
      </c>
      <c r="C28" s="81"/>
      <c r="D28" s="79">
        <f>+D26+D27</f>
        <v>124341654</v>
      </c>
      <c r="E28" s="79">
        <f t="shared" ref="E28:G28" si="6">+E26+E27</f>
        <v>133392316</v>
      </c>
      <c r="F28" s="236">
        <f t="shared" si="6"/>
        <v>0</v>
      </c>
      <c r="G28" s="242">
        <f t="shared" si="6"/>
        <v>-8834017</v>
      </c>
      <c r="H28" s="83"/>
      <c r="I28" s="154">
        <f>+ROUND((D28-E28),0)</f>
        <v>-9050662</v>
      </c>
      <c r="J28" s="159">
        <f>IFERROR(I28/E28,1)</f>
        <v>-6.784995021752227E-2</v>
      </c>
      <c r="K28" s="187"/>
      <c r="L28" s="154" t="e">
        <f>+ROUND((#REF!-#REF!),0)</f>
        <v>#REF!</v>
      </c>
      <c r="M28" s="159">
        <f>IFERROR(L28/#REF!,1)</f>
        <v>1</v>
      </c>
    </row>
    <row r="29" spans="2:13" s="84" customFormat="1" ht="21" customHeight="1">
      <c r="B29" s="82" t="s">
        <v>168</v>
      </c>
      <c r="C29" s="76"/>
      <c r="D29" s="83"/>
      <c r="E29" s="69"/>
      <c r="G29" s="241"/>
      <c r="I29" s="132"/>
      <c r="J29" s="156"/>
      <c r="K29" s="186"/>
      <c r="L29" s="132"/>
      <c r="M29" s="156"/>
    </row>
    <row r="30" spans="2:13" s="84" customFormat="1" ht="21" customHeight="1">
      <c r="B30" s="127" t="s">
        <v>200</v>
      </c>
      <c r="C30" s="58">
        <v>31</v>
      </c>
      <c r="D30" s="128">
        <f>+D26/6118965</f>
        <v>20.320372154441152</v>
      </c>
      <c r="E30" s="128">
        <f>+E26/6118965</f>
        <v>21.799507106185441</v>
      </c>
      <c r="F30" s="237">
        <f>+F26/6118965</f>
        <v>0</v>
      </c>
      <c r="G30" s="243">
        <f>+G26/6118965</f>
        <v>-1.4437294542459387</v>
      </c>
      <c r="I30" s="132"/>
      <c r="J30" s="156"/>
      <c r="K30" s="186"/>
      <c r="L30" s="132"/>
      <c r="M30" s="156"/>
    </row>
    <row r="31" spans="2:13" s="84" customFormat="1" ht="21" customHeight="1" thickBot="1">
      <c r="B31" s="85" t="s">
        <v>50</v>
      </c>
      <c r="C31" s="86"/>
      <c r="D31" s="87">
        <f>+D30</f>
        <v>20.320372154441152</v>
      </c>
      <c r="E31" s="87">
        <f t="shared" ref="E31:G31" si="7">+E30</f>
        <v>21.799507106185441</v>
      </c>
      <c r="F31" s="238">
        <f t="shared" si="7"/>
        <v>0</v>
      </c>
      <c r="G31" s="244">
        <f t="shared" si="7"/>
        <v>-1.4437294542459387</v>
      </c>
      <c r="I31" s="157"/>
      <c r="J31" s="158"/>
      <c r="K31" s="186"/>
      <c r="L31" s="157"/>
      <c r="M31" s="158"/>
    </row>
    <row r="32" spans="2:13" ht="9" customHeight="1">
      <c r="B32" s="93"/>
      <c r="C32" s="93"/>
      <c r="D32" s="93"/>
      <c r="E32" s="93"/>
      <c r="F32" s="110"/>
      <c r="G32" s="110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Props1.xml><?xml version="1.0" encoding="utf-8"?>
<ds:datastoreItem xmlns:ds="http://schemas.openxmlformats.org/officeDocument/2006/customXml" ds:itemID="{EDE61713-0EB6-4A72-9F4F-2EE7C98C3965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2.xml><?xml version="1.0" encoding="utf-8"?>
<ds:datastoreItem xmlns:ds="http://schemas.openxmlformats.org/officeDocument/2006/customXml" ds:itemID="{22BDB31F-B373-49B4-BD03-83D5F333B4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812F8E-3B44-47EC-B9B5-D721EDBC5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Resultados</vt:lpstr>
      <vt:lpstr>Resultados por Segmento</vt:lpstr>
      <vt:lpstr>Resultados Trimestrales</vt:lpstr>
      <vt:lpstr>Estado de situación financiera</vt:lpstr>
      <vt:lpstr>Deuda Financiera</vt:lpstr>
      <vt:lpstr>Flujo de efectivo</vt:lpstr>
      <vt:lpstr>Indicadores</vt:lpstr>
      <vt:lpstr>Resultado</vt:lpstr>
      <vt:lpstr>Balance</vt:lpstr>
      <vt:lpstr>Flujo</vt:lpstr>
      <vt:lpstr>Valor acción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Jorge Douglas Cuellar Barry</cp:lastModifiedBy>
  <cp:lastPrinted>2011-04-19T13:35:12Z</cp:lastPrinted>
  <dcterms:created xsi:type="dcterms:W3CDTF">2009-05-16T00:13:33Z</dcterms:created>
  <dcterms:modified xsi:type="dcterms:W3CDTF">2025-03-10T19:36:49Z</dcterms:modified>
</cp: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BExAnalyzer_OldName">
    <vt:lpwstr>Tablas análisis razonado AAC Mar18_v0.xlsx</vt:lpwstr>
  </op:property>
  <op:property fmtid="{D5CDD505-2E9C-101B-9397-08002B2CF9AE}" pid="3" name="SV_QUERY_LIST_4F35BF76-6C0D-4D9B-82B2-816C12CF3733">
    <vt:lpwstr>empty_477D106A-C0D6-4607-AEBD-E2C9D60EA279</vt:lpwstr>
  </op:property>
  <op:property fmtid="{D5CDD505-2E9C-101B-9397-08002B2CF9AE}" pid="4" name="SV_HIDDEN_GRID_QUERY_LIST_4F35BF76-6C0D-4D9B-82B2-816C12CF3733">
    <vt:lpwstr>empty_477D106A-C0D6-4607-AEBD-E2C9D60EA279</vt:lpwstr>
  </op:property>
  <op:property fmtid="{D5CDD505-2E9C-101B-9397-08002B2CF9AE}" pid="5" name="ContentTypeId">
    <vt:lpwstr>0x010100287904A346C7DD4CB5D7CA632F15255C</vt:lpwstr>
  </op:property>
  <op:property fmtid="{D5CDD505-2E9C-101B-9397-08002B2CF9AE}" pid="6" name="MediaServiceImageTags">
    <vt:lpwstr/>
  </op:property>
  <op:property fmtid="{D5CDD505-2E9C-101B-9397-08002B2CF9AE}" pid="7" name="KriptosClassAi">
    <vt:lpwstr>3-Restringido</vt:lpwstr>
  </op:property>
</op:Properties>
</file>