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cuellar\OneDrive - aguasandinas.cl\General - Investor Relations AA - IAM\02 Resultados\2024\2Q\Traducción\AA\"/>
    </mc:Choice>
  </mc:AlternateContent>
  <bookViews>
    <workbookView xWindow="-120" yWindow="-120" windowWidth="20736" windowHeight="11160" tabRatio="904" firstSheet="1" activeTab="1"/>
  </bookViews>
  <sheets>
    <sheet name="BExRepositorySheet" sheetId="9" state="veryHidden" r:id="rId1"/>
    <sheet name="Resultados" sheetId="18" r:id="rId2"/>
    <sheet name="Resultados por Segmento" sheetId="29" r:id="rId3"/>
    <sheet name="Resultados Trimestrales" sheetId="30" r:id="rId4"/>
    <sheet name="Estado de situación financiera" sheetId="8" r:id="rId5"/>
    <sheet name="Deuda Financiera" sheetId="23" r:id="rId6"/>
    <sheet name="Flujo de efectivo" sheetId="17" r:id="rId7"/>
    <sheet name="Indicadores" sheetId="15" r:id="rId8"/>
    <sheet name="Cálculos" sheetId="4" state="hidden" r:id="rId9"/>
    <sheet name="Balance" sheetId="11" state="hidden" r:id="rId10"/>
    <sheet name="Resultado" sheetId="12" state="hidden" r:id="rId11"/>
    <sheet name="Flujo" sheetId="13" state="hidden" r:id="rId12"/>
    <sheet name="Anualizados" sheetId="10" state="hidden" r:id="rId13"/>
    <sheet name="Valor acción" sheetId="28" state="hidden" r:id="rId14"/>
  </sheets>
  <externalReferences>
    <externalReference r:id="rId15"/>
    <externalReference r:id="rId16"/>
    <externalReference r:id="rId17"/>
  </externalReferences>
  <definedNames>
    <definedName name="_xlnm._FilterDatabase" localSheetId="11" hidden="1">Flujo!$B$2:$E$71</definedName>
    <definedName name="_Hlk47472038" localSheetId="2">'Resultados por Segmento'!$B$10</definedName>
    <definedName name="_xlnm.Print_Area" localSheetId="8">Cálculos!$H$4:$L$50</definedName>
    <definedName name="_xlnm.Print_Area" localSheetId="4">'Estado de situación financiera'!#REF!</definedName>
    <definedName name="_xlnm.Print_Area" localSheetId="6">'Flujo de efectivo'!#REF!</definedName>
    <definedName name="_xlnm.Print_Area" localSheetId="7">Indicadores!#REF!</definedName>
    <definedName name="_xlnm.Print_Area" localSheetId="1">Resultados!#REF!</definedName>
    <definedName name="Base">'[1]ER-Mod'!$B$3</definedName>
    <definedName name="empresa">'[1]ER-Mod'!$A$2</definedName>
    <definedName name="key">'[1]ER-Mod'!$B$2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1" i="13" l="1"/>
  <c r="E68" i="13"/>
  <c r="D68" i="13"/>
  <c r="E64" i="13"/>
  <c r="E63" i="13"/>
  <c r="E62" i="13"/>
  <c r="E61" i="13"/>
  <c r="E60" i="13"/>
  <c r="E59" i="13"/>
  <c r="E58" i="13"/>
  <c r="G26" i="12"/>
  <c r="F26" i="12"/>
  <c r="E26" i="12"/>
  <c r="D26" i="12"/>
  <c r="G21" i="12"/>
  <c r="F21" i="12"/>
  <c r="E21" i="12"/>
  <c r="D21" i="12"/>
  <c r="G19" i="12"/>
  <c r="F19" i="12"/>
  <c r="E19" i="12"/>
  <c r="D19" i="12"/>
  <c r="G16" i="12"/>
  <c r="F16" i="12"/>
  <c r="E16" i="12"/>
  <c r="D16" i="12"/>
  <c r="G15" i="12"/>
  <c r="F15" i="12"/>
  <c r="E15" i="12"/>
  <c r="D15" i="12"/>
  <c r="G14" i="12"/>
  <c r="F14" i="12"/>
  <c r="E14" i="12"/>
  <c r="D14" i="12"/>
  <c r="G13" i="12"/>
  <c r="F13" i="12"/>
  <c r="E13" i="12"/>
  <c r="D13" i="12"/>
  <c r="G11" i="12"/>
  <c r="F11" i="12"/>
  <c r="E11" i="12"/>
  <c r="D11" i="12"/>
  <c r="G10" i="12"/>
  <c r="F10" i="12"/>
  <c r="E10" i="12"/>
  <c r="D10" i="12"/>
  <c r="G9" i="12"/>
  <c r="F9" i="12"/>
  <c r="E9" i="12"/>
  <c r="D9" i="12"/>
  <c r="G8" i="12"/>
  <c r="F8" i="12"/>
  <c r="E8" i="12"/>
  <c r="D8" i="12"/>
  <c r="G7" i="12"/>
  <c r="F7" i="12"/>
  <c r="E7" i="12"/>
  <c r="D7" i="12"/>
  <c r="G6" i="12"/>
  <c r="F6" i="12"/>
  <c r="E6" i="12"/>
  <c r="D6" i="12"/>
  <c r="G5" i="12"/>
  <c r="F5" i="12"/>
  <c r="E5" i="12"/>
  <c r="D5" i="12"/>
  <c r="E64" i="11"/>
  <c r="D64" i="11"/>
  <c r="E62" i="11"/>
  <c r="D62" i="11"/>
  <c r="E61" i="11"/>
  <c r="D61" i="11"/>
  <c r="E60" i="11"/>
  <c r="D60" i="11"/>
  <c r="E59" i="11"/>
  <c r="D59" i="11"/>
  <c r="E58" i="11"/>
  <c r="D58" i="11"/>
  <c r="E53" i="11"/>
  <c r="D53" i="11"/>
  <c r="E52" i="11"/>
  <c r="D52" i="11"/>
  <c r="E51" i="11"/>
  <c r="D51" i="11"/>
  <c r="E50" i="11"/>
  <c r="D50" i="11"/>
  <c r="E49" i="11"/>
  <c r="D49" i="11"/>
  <c r="E48" i="11"/>
  <c r="D48" i="11"/>
  <c r="E47" i="11"/>
  <c r="D47" i="11"/>
  <c r="E46" i="11"/>
  <c r="D46" i="11"/>
  <c r="E43" i="11"/>
  <c r="D43" i="11"/>
  <c r="E41" i="11"/>
  <c r="D41" i="11"/>
  <c r="E40" i="11"/>
  <c r="D40" i="11"/>
  <c r="E39" i="11"/>
  <c r="D39" i="11"/>
  <c r="E38" i="11"/>
  <c r="D38" i="11"/>
  <c r="E37" i="11"/>
  <c r="D37" i="11"/>
  <c r="E36" i="11"/>
  <c r="D36" i="11"/>
  <c r="E35" i="11"/>
  <c r="D35" i="11"/>
  <c r="E34" i="11"/>
  <c r="D34" i="11"/>
  <c r="E25" i="11"/>
  <c r="D25" i="11"/>
  <c r="E24" i="11"/>
  <c r="D24" i="11"/>
  <c r="E23" i="11"/>
  <c r="D23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4" i="11"/>
  <c r="D14" i="11"/>
  <c r="E12" i="11"/>
  <c r="D12" i="11"/>
  <c r="E11" i="11"/>
  <c r="D11" i="11"/>
  <c r="E10" i="11"/>
  <c r="D10" i="11"/>
  <c r="E9" i="11"/>
  <c r="D9" i="11"/>
  <c r="E8" i="11"/>
  <c r="D8" i="11"/>
  <c r="E7" i="11"/>
  <c r="D7" i="11"/>
  <c r="E6" i="11"/>
  <c r="D6" i="11"/>
  <c r="E70" i="13" l="1"/>
  <c r="E69" i="13"/>
  <c r="E57" i="13"/>
  <c r="E56" i="13"/>
  <c r="E54" i="13"/>
  <c r="E53" i="13"/>
  <c r="E52" i="13"/>
  <c r="E51" i="13"/>
  <c r="E50" i="13"/>
  <c r="E49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1" i="13"/>
  <c r="E20" i="13"/>
  <c r="E19" i="13"/>
  <c r="E18" i="13"/>
  <c r="E17" i="13"/>
  <c r="E16" i="13"/>
  <c r="E14" i="13"/>
  <c r="E13" i="13"/>
  <c r="E12" i="13"/>
  <c r="E11" i="13"/>
  <c r="E10" i="13"/>
  <c r="E8" i="13"/>
  <c r="E7" i="13"/>
  <c r="E6" i="13"/>
  <c r="E5" i="13"/>
  <c r="E4" i="13"/>
  <c r="D70" i="13"/>
  <c r="D64" i="13"/>
  <c r="D63" i="13"/>
  <c r="D62" i="13"/>
  <c r="D61" i="13"/>
  <c r="D60" i="13"/>
  <c r="D59" i="13"/>
  <c r="D58" i="13"/>
  <c r="D57" i="13"/>
  <c r="D56" i="13"/>
  <c r="D54" i="13"/>
  <c r="D53" i="13"/>
  <c r="D52" i="13"/>
  <c r="D51" i="13"/>
  <c r="D50" i="13"/>
  <c r="D49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1" i="13"/>
  <c r="D20" i="13"/>
  <c r="D19" i="13"/>
  <c r="D18" i="13"/>
  <c r="D17" i="13"/>
  <c r="D16" i="13"/>
  <c r="D14" i="13"/>
  <c r="D13" i="13"/>
  <c r="D12" i="13"/>
  <c r="D11" i="13"/>
  <c r="D10" i="13"/>
  <c r="D8" i="13"/>
  <c r="D7" i="13"/>
  <c r="D6" i="13"/>
  <c r="D5" i="13"/>
  <c r="D4" i="13"/>
  <c r="D71" i="13" l="1"/>
  <c r="D69" i="13" l="1"/>
  <c r="D44" i="4" l="1"/>
  <c r="D46" i="4" s="1"/>
  <c r="C36" i="4" l="1"/>
  <c r="G62" i="11" l="1"/>
  <c r="G12" i="12"/>
  <c r="G18" i="12" s="1"/>
  <c r="G20" i="12" s="1"/>
  <c r="G23" i="12" s="1"/>
  <c r="G25" i="12" s="1"/>
  <c r="F12" i="12"/>
  <c r="F18" i="12" s="1"/>
  <c r="F20" i="12" s="1"/>
  <c r="F23" i="12" s="1"/>
  <c r="F25" i="12" s="1"/>
  <c r="F29" i="12" l="1"/>
  <c r="F30" i="12" s="1"/>
  <c r="F27" i="12"/>
  <c r="G29" i="12"/>
  <c r="G30" i="12" s="1"/>
  <c r="G27" i="12"/>
  <c r="F13" i="4" l="1"/>
  <c r="F12" i="4"/>
  <c r="F11" i="4"/>
  <c r="F10" i="4"/>
  <c r="F7" i="4"/>
  <c r="F6" i="4"/>
  <c r="E67" i="4"/>
  <c r="E66" i="4"/>
  <c r="E65" i="4"/>
  <c r="E62" i="4"/>
  <c r="E60" i="4"/>
  <c r="E59" i="4"/>
  <c r="E58" i="4"/>
  <c r="E57" i="4"/>
  <c r="E55" i="4"/>
  <c r="E54" i="4"/>
  <c r="E53" i="4"/>
  <c r="E52" i="4"/>
  <c r="E51" i="4"/>
  <c r="E50" i="4"/>
  <c r="F18" i="4" s="1"/>
  <c r="F32" i="4"/>
  <c r="F30" i="4"/>
  <c r="F29" i="4"/>
  <c r="F28" i="4"/>
  <c r="L49" i="4" l="1"/>
  <c r="C46" i="4"/>
  <c r="J49" i="4" s="1"/>
  <c r="D49" i="4" l="1"/>
  <c r="F27" i="4"/>
  <c r="E27" i="4"/>
  <c r="G14" i="11" l="1"/>
  <c r="C49" i="4" l="1"/>
  <c r="D27" i="4"/>
  <c r="D16" i="4"/>
  <c r="E49" i="4" l="1"/>
  <c r="D13" i="11"/>
  <c r="J70" i="13" l="1"/>
  <c r="K69" i="13" l="1"/>
  <c r="J54" i="13" l="1"/>
  <c r="G13" i="13"/>
  <c r="L10" i="4"/>
  <c r="D48" i="13" l="1"/>
  <c r="E55" i="13" l="1"/>
  <c r="D55" i="13"/>
  <c r="D22" i="13"/>
  <c r="E22" i="13"/>
  <c r="C65" i="4" l="1"/>
  <c r="C62" i="4"/>
  <c r="E32" i="4" l="1"/>
  <c r="D12" i="12" l="1"/>
  <c r="L21" i="12" l="1"/>
  <c r="M21" i="12" s="1"/>
  <c r="C66" i="4"/>
  <c r="D66" i="4"/>
  <c r="I21" i="12"/>
  <c r="J21" i="12" s="1"/>
  <c r="E48" i="13"/>
  <c r="I48" i="13" s="1"/>
  <c r="E12" i="12" l="1"/>
  <c r="E61" i="4" l="1"/>
  <c r="F31" i="4"/>
  <c r="E18" i="12" l="1"/>
  <c r="D18" i="12"/>
  <c r="H17" i="13" l="1"/>
  <c r="H16" i="13"/>
  <c r="E15" i="13" l="1"/>
  <c r="D15" i="13"/>
  <c r="E9" i="13"/>
  <c r="D9" i="13"/>
  <c r="D2" i="13"/>
  <c r="E2" i="13"/>
  <c r="I10" i="12"/>
  <c r="J10" i="12" s="1"/>
  <c r="I11" i="12"/>
  <c r="J11" i="12" s="1"/>
  <c r="I14" i="12"/>
  <c r="J14" i="12" s="1"/>
  <c r="I15" i="12"/>
  <c r="J15" i="12" s="1"/>
  <c r="I16" i="12"/>
  <c r="J16" i="12" s="1"/>
  <c r="E31" i="11"/>
  <c r="D31" i="11"/>
  <c r="E23" i="13" l="1"/>
  <c r="D23" i="13"/>
  <c r="I13" i="12"/>
  <c r="J13" i="12" s="1"/>
  <c r="G23" i="13" l="1"/>
  <c r="G5" i="13" l="1"/>
  <c r="G6" i="13" l="1"/>
  <c r="E20" i="12" l="1"/>
  <c r="D20" i="12"/>
  <c r="D23" i="12" s="1"/>
  <c r="D25" i="12" s="1"/>
  <c r="D29" i="12" l="1"/>
  <c r="D30" i="12" s="1"/>
  <c r="E23" i="12"/>
  <c r="E25" i="12" s="1"/>
  <c r="E29" i="12" s="1"/>
  <c r="E30" i="12" s="1"/>
  <c r="E27" i="12" l="1"/>
  <c r="D27" i="12"/>
  <c r="I9" i="12" l="1"/>
  <c r="L9" i="12" l="1"/>
  <c r="M9" i="12" s="1"/>
  <c r="J9" i="12"/>
  <c r="D67" i="4"/>
  <c r="C67" i="4"/>
  <c r="D65" i="4"/>
  <c r="E24" i="4" s="1"/>
  <c r="D24" i="4"/>
  <c r="J27" i="4" s="1"/>
  <c r="P50" i="4"/>
  <c r="D62" i="4"/>
  <c r="D60" i="4"/>
  <c r="C60" i="4"/>
  <c r="D59" i="4"/>
  <c r="C59" i="4"/>
  <c r="D58" i="4"/>
  <c r="E21" i="4" s="1"/>
  <c r="C58" i="4"/>
  <c r="D21" i="4" s="1"/>
  <c r="D57" i="4"/>
  <c r="C57" i="4"/>
  <c r="D55" i="4"/>
  <c r="C55" i="4"/>
  <c r="D54" i="4"/>
  <c r="C54" i="4"/>
  <c r="D53" i="4"/>
  <c r="E25" i="4" s="1"/>
  <c r="C53" i="4"/>
  <c r="D25" i="4" s="1"/>
  <c r="J29" i="4" s="1"/>
  <c r="D52" i="4"/>
  <c r="C52" i="4"/>
  <c r="D51" i="4"/>
  <c r="C51" i="4"/>
  <c r="D50" i="4"/>
  <c r="C50" i="4"/>
  <c r="P46" i="4"/>
  <c r="M49" i="4"/>
  <c r="D29" i="4"/>
  <c r="D28" i="4"/>
  <c r="F33" i="4"/>
  <c r="E29" i="4"/>
  <c r="E28" i="4"/>
  <c r="L30" i="4"/>
  <c r="L24" i="4"/>
  <c r="F25" i="4"/>
  <c r="L29" i="4" s="1"/>
  <c r="F24" i="4"/>
  <c r="L27" i="4" s="1"/>
  <c r="F21" i="4"/>
  <c r="F14" i="4"/>
  <c r="F8" i="4"/>
  <c r="L4" i="4"/>
  <c r="J4" i="4"/>
  <c r="J28" i="4" l="1"/>
  <c r="C19" i="10"/>
  <c r="L28" i="4"/>
  <c r="J30" i="4"/>
  <c r="C61" i="4"/>
  <c r="D18" i="4"/>
  <c r="J35" i="4" s="1"/>
  <c r="C56" i="4"/>
  <c r="E18" i="4"/>
  <c r="L35" i="4" s="1"/>
  <c r="F15" i="4"/>
  <c r="D61" i="4"/>
  <c r="D56" i="4"/>
  <c r="K49" i="4"/>
  <c r="O49" i="4" s="1"/>
  <c r="P49" i="4"/>
  <c r="D19" i="4"/>
  <c r="E19" i="4"/>
  <c r="E56" i="4" l="1"/>
  <c r="E64" i="4" s="1"/>
  <c r="F19" i="4"/>
  <c r="P35" i="4"/>
  <c r="C64" i="4"/>
  <c r="D64" i="4"/>
  <c r="F20" i="4" l="1"/>
  <c r="L23" i="4" s="1"/>
  <c r="M23" i="4" s="1"/>
  <c r="E68" i="4"/>
  <c r="E69" i="4" s="1"/>
  <c r="E20" i="4"/>
  <c r="C11" i="10" s="1"/>
  <c r="D68" i="4"/>
  <c r="D69" i="4" s="1"/>
  <c r="E23" i="4" s="1"/>
  <c r="D20" i="4"/>
  <c r="C12" i="10" s="1"/>
  <c r="C68" i="4"/>
  <c r="C69" i="4" s="1"/>
  <c r="L39" i="4" l="1"/>
  <c r="L42" i="4" s="1"/>
  <c r="F23" i="4"/>
  <c r="L26" i="4" s="1"/>
  <c r="L32" i="4" s="1"/>
  <c r="E22" i="4" s="1"/>
  <c r="D23" i="4"/>
  <c r="J26" i="4" s="1"/>
  <c r="J32" i="4" s="1"/>
  <c r="D22" i="4" s="1"/>
  <c r="G68" i="13"/>
  <c r="H68" i="13" s="1"/>
  <c r="G67" i="13"/>
  <c r="H67" i="13" s="1"/>
  <c r="G62" i="13"/>
  <c r="H62" i="13" s="1"/>
  <c r="G61" i="13"/>
  <c r="H61" i="13" s="1"/>
  <c r="G60" i="13"/>
  <c r="H60" i="13" s="1"/>
  <c r="G59" i="13"/>
  <c r="H59" i="13" s="1"/>
  <c r="G58" i="13"/>
  <c r="H58" i="13" s="1"/>
  <c r="G57" i="13"/>
  <c r="H57" i="13" s="1"/>
  <c r="G56" i="13"/>
  <c r="H56" i="13" s="1"/>
  <c r="G55" i="13"/>
  <c r="H55" i="13" s="1"/>
  <c r="G54" i="13"/>
  <c r="H54" i="13" s="1"/>
  <c r="G53" i="13"/>
  <c r="H53" i="13" s="1"/>
  <c r="G52" i="13"/>
  <c r="H52" i="13" s="1"/>
  <c r="G51" i="13"/>
  <c r="H51" i="13" s="1"/>
  <c r="G50" i="13"/>
  <c r="H50" i="13" s="1"/>
  <c r="G49" i="13"/>
  <c r="H49" i="13" s="1"/>
  <c r="G48" i="13"/>
  <c r="H48" i="13" s="1"/>
  <c r="G47" i="13"/>
  <c r="H47" i="13" s="1"/>
  <c r="G46" i="13"/>
  <c r="H46" i="13" s="1"/>
  <c r="G45" i="13"/>
  <c r="H45" i="13" s="1"/>
  <c r="G44" i="13"/>
  <c r="H44" i="13" s="1"/>
  <c r="G43" i="13"/>
  <c r="H43" i="13" s="1"/>
  <c r="G42" i="13"/>
  <c r="H42" i="13" s="1"/>
  <c r="G41" i="13"/>
  <c r="H41" i="13" s="1"/>
  <c r="G40" i="13"/>
  <c r="H40" i="13" s="1"/>
  <c r="G39" i="13"/>
  <c r="H39" i="13" s="1"/>
  <c r="G38" i="13"/>
  <c r="H38" i="13" s="1"/>
  <c r="G37" i="13"/>
  <c r="H37" i="13" s="1"/>
  <c r="G36" i="13"/>
  <c r="H36" i="13" s="1"/>
  <c r="G35" i="13"/>
  <c r="H35" i="13" s="1"/>
  <c r="G34" i="13"/>
  <c r="H34" i="13" s="1"/>
  <c r="G33" i="13"/>
  <c r="H33" i="13" s="1"/>
  <c r="G32" i="13"/>
  <c r="H32" i="13" s="1"/>
  <c r="G31" i="13"/>
  <c r="H31" i="13" s="1"/>
  <c r="G30" i="13"/>
  <c r="H30" i="13" s="1"/>
  <c r="G29" i="13"/>
  <c r="H29" i="13" s="1"/>
  <c r="G28" i="13"/>
  <c r="H28" i="13" s="1"/>
  <c r="G27" i="13"/>
  <c r="H27" i="13" s="1"/>
  <c r="G26" i="13"/>
  <c r="H26" i="13" s="1"/>
  <c r="G25" i="13"/>
  <c r="H25" i="13" s="1"/>
  <c r="G24" i="13"/>
  <c r="H24" i="13" s="1"/>
  <c r="H23" i="13"/>
  <c r="G22" i="13"/>
  <c r="H22" i="13" s="1"/>
  <c r="G21" i="13"/>
  <c r="H21" i="13" s="1"/>
  <c r="G20" i="13"/>
  <c r="H20" i="13" s="1"/>
  <c r="G19" i="13"/>
  <c r="H19" i="13" s="1"/>
  <c r="G18" i="13"/>
  <c r="H18" i="13" s="1"/>
  <c r="G15" i="13"/>
  <c r="H15" i="13" s="1"/>
  <c r="G14" i="13"/>
  <c r="H14" i="13" s="1"/>
  <c r="H13" i="13"/>
  <c r="G12" i="13"/>
  <c r="H12" i="13" s="1"/>
  <c r="G11" i="13"/>
  <c r="H11" i="13" s="1"/>
  <c r="G10" i="13"/>
  <c r="H10" i="13" s="1"/>
  <c r="G9" i="13"/>
  <c r="H9" i="13" s="1"/>
  <c r="G8" i="13"/>
  <c r="H8" i="13" s="1"/>
  <c r="G7" i="13"/>
  <c r="H7" i="13" s="1"/>
  <c r="G4" i="13"/>
  <c r="H4" i="13" s="1"/>
  <c r="I26" i="12"/>
  <c r="J26" i="12" s="1"/>
  <c r="I19" i="12"/>
  <c r="J19" i="12" s="1"/>
  <c r="I8" i="12"/>
  <c r="J8" i="12" s="1"/>
  <c r="I7" i="12"/>
  <c r="J7" i="12" s="1"/>
  <c r="I6" i="12"/>
  <c r="J6" i="12" s="1"/>
  <c r="I5" i="12"/>
  <c r="L45" i="4" l="1"/>
  <c r="M45" i="4" s="1"/>
  <c r="J5" i="12"/>
  <c r="M32" i="4"/>
  <c r="F22" i="4" s="1"/>
  <c r="L8" i="12"/>
  <c r="M8" i="12" s="1"/>
  <c r="L26" i="12"/>
  <c r="M26" i="12" s="1"/>
  <c r="L6" i="12"/>
  <c r="M6" i="12" s="1"/>
  <c r="L19" i="12"/>
  <c r="M19" i="12" s="1"/>
  <c r="L14" i="12"/>
  <c r="M14" i="12" s="1"/>
  <c r="L15" i="12"/>
  <c r="M15" i="12" s="1"/>
  <c r="L11" i="12"/>
  <c r="M11" i="12" s="1"/>
  <c r="L13" i="12"/>
  <c r="M13" i="12" s="1"/>
  <c r="L5" i="12"/>
  <c r="M5" i="12" s="1"/>
  <c r="L10" i="12"/>
  <c r="M10" i="12" s="1"/>
  <c r="L20" i="12" l="1"/>
  <c r="M20" i="12" s="1"/>
  <c r="L7" i="12"/>
  <c r="M7" i="12" s="1"/>
  <c r="L16" i="12"/>
  <c r="M16" i="12" s="1"/>
  <c r="L27" i="12" l="1"/>
  <c r="M27" i="12" s="1"/>
  <c r="L23" i="12"/>
  <c r="M23" i="12" s="1"/>
  <c r="I18" i="12" l="1"/>
  <c r="L18" i="12" l="1"/>
  <c r="M18" i="12" s="1"/>
  <c r="J18" i="12"/>
  <c r="I20" i="12"/>
  <c r="J20" i="12" s="1"/>
  <c r="I23" i="12" l="1"/>
  <c r="J23" i="12" s="1"/>
  <c r="I25" i="12" l="1"/>
  <c r="J25" i="12" s="1"/>
  <c r="I27" i="12"/>
  <c r="J27" i="12" s="1"/>
  <c r="L25" i="12" l="1"/>
  <c r="M25" i="12" s="1"/>
  <c r="B19" i="10"/>
  <c r="B18" i="10"/>
  <c r="B17" i="10"/>
  <c r="B13" i="10"/>
  <c r="B20" i="10" s="1"/>
  <c r="B12" i="10"/>
  <c r="B11" i="10"/>
  <c r="B10" i="10"/>
  <c r="C3" i="10" l="1"/>
  <c r="C17" i="10" l="1"/>
  <c r="C18" i="10" l="1"/>
  <c r="C4" i="10" l="1"/>
  <c r="C20" i="10"/>
  <c r="J24" i="4" s="1"/>
  <c r="Q24" i="4" l="1"/>
  <c r="P24" i="4"/>
  <c r="C10" i="10"/>
  <c r="C13" i="10" s="1"/>
  <c r="J23" i="4" s="1"/>
  <c r="K23" i="4" l="1"/>
  <c r="C5" i="10"/>
  <c r="C6" i="10" s="1"/>
  <c r="J39" i="4" s="1"/>
  <c r="P23" i="4" l="1"/>
  <c r="O23" i="4"/>
  <c r="Q23" i="4"/>
  <c r="P39" i="4" l="1"/>
  <c r="Q39" i="4"/>
  <c r="J42" i="4"/>
  <c r="Q42" i="4" l="1"/>
  <c r="J45" i="4"/>
  <c r="K45" i="4" s="1"/>
  <c r="O45" i="4" s="1"/>
  <c r="P42" i="4"/>
  <c r="P45" i="4" l="1"/>
  <c r="D12" i="4" l="1"/>
  <c r="D26" i="11" l="1"/>
  <c r="D15" i="11"/>
  <c r="D54" i="11" l="1"/>
  <c r="D42" i="11"/>
  <c r="D63" i="11"/>
  <c r="D7" i="4"/>
  <c r="D35" i="4" l="1"/>
  <c r="D11" i="4"/>
  <c r="J20" i="4" s="1"/>
  <c r="D65" i="11"/>
  <c r="D13" i="4"/>
  <c r="J15" i="4" s="1"/>
  <c r="D28" i="11"/>
  <c r="D36" i="4" s="1"/>
  <c r="D6" i="4"/>
  <c r="D44" i="11"/>
  <c r="J7" i="4" l="1"/>
  <c r="D8" i="4"/>
  <c r="D56" i="11"/>
  <c r="D10" i="4"/>
  <c r="J14" i="4" l="1"/>
  <c r="J18" i="4"/>
  <c r="J21" i="4" s="1"/>
  <c r="J17" i="4"/>
  <c r="J11" i="4"/>
  <c r="J8" i="4"/>
  <c r="K7" i="4" s="1"/>
  <c r="D67" i="11"/>
  <c r="D69" i="11" s="1"/>
  <c r="D14" i="4"/>
  <c r="D15" i="4" s="1"/>
  <c r="K14" i="4" l="1"/>
  <c r="K17" i="4"/>
  <c r="K20" i="4" l="1"/>
  <c r="G53" i="11" l="1"/>
  <c r="H53" i="11" s="1"/>
  <c r="G51" i="11"/>
  <c r="H51" i="11" s="1"/>
  <c r="G50" i="11"/>
  <c r="H50" i="11" s="1"/>
  <c r="G41" i="11"/>
  <c r="H41" i="11" s="1"/>
  <c r="G39" i="11"/>
  <c r="H39" i="11" s="1"/>
  <c r="G38" i="11"/>
  <c r="H38" i="11" s="1"/>
  <c r="G37" i="11"/>
  <c r="H37" i="11" s="1"/>
  <c r="G25" i="11"/>
  <c r="H25" i="11" s="1"/>
  <c r="G24" i="11"/>
  <c r="H24" i="11" s="1"/>
  <c r="G23" i="11"/>
  <c r="H23" i="11" s="1"/>
  <c r="G22" i="11"/>
  <c r="H22" i="11" s="1"/>
  <c r="G21" i="11"/>
  <c r="H21" i="11" s="1"/>
  <c r="G19" i="11"/>
  <c r="H19" i="11" s="1"/>
  <c r="G12" i="11"/>
  <c r="H12" i="11" s="1"/>
  <c r="G11" i="11"/>
  <c r="H11" i="11" s="1"/>
  <c r="G9" i="11"/>
  <c r="H9" i="11" s="1"/>
  <c r="G7" i="11"/>
  <c r="H7" i="11" s="1"/>
  <c r="F34" i="4"/>
  <c r="G8" i="11" l="1"/>
  <c r="H8" i="11" s="1"/>
  <c r="G10" i="11"/>
  <c r="H10" i="11" s="1"/>
  <c r="G48" i="11"/>
  <c r="H48" i="11" s="1"/>
  <c r="G52" i="11"/>
  <c r="H52" i="11" s="1"/>
  <c r="G60" i="11"/>
  <c r="H60" i="11" s="1"/>
  <c r="H14" i="11"/>
  <c r="E13" i="11"/>
  <c r="G6" i="11"/>
  <c r="H6" i="11" s="1"/>
  <c r="G17" i="11"/>
  <c r="H17" i="11" s="1"/>
  <c r="G18" i="11"/>
  <c r="H18" i="11" s="1"/>
  <c r="G34" i="11"/>
  <c r="H34" i="11" s="1"/>
  <c r="G43" i="11"/>
  <c r="H43" i="11" s="1"/>
  <c r="G49" i="11"/>
  <c r="H49" i="11" s="1"/>
  <c r="G61" i="11"/>
  <c r="H61" i="11" s="1"/>
  <c r="G35" i="11"/>
  <c r="H35" i="11" s="1"/>
  <c r="G46" i="11"/>
  <c r="H46" i="11" s="1"/>
  <c r="G36" i="11"/>
  <c r="H36" i="11" s="1"/>
  <c r="G40" i="11"/>
  <c r="H40" i="11" s="1"/>
  <c r="G47" i="11"/>
  <c r="H47" i="11" s="1"/>
  <c r="G59" i="11"/>
  <c r="H59" i="11" s="1"/>
  <c r="E42" i="11" l="1"/>
  <c r="E44" i="11" s="1"/>
  <c r="E54" i="11"/>
  <c r="E26" i="11"/>
  <c r="E7" i="4" s="1"/>
  <c r="E12" i="4"/>
  <c r="G64" i="11"/>
  <c r="H64" i="11" s="1"/>
  <c r="E63" i="11"/>
  <c r="G63" i="11" s="1"/>
  <c r="G58" i="11"/>
  <c r="H58" i="11" s="1"/>
  <c r="E15" i="11"/>
  <c r="G13" i="11"/>
  <c r="H13" i="11" s="1"/>
  <c r="G15" i="11" l="1"/>
  <c r="H15" i="11" s="1"/>
  <c r="E11" i="4"/>
  <c r="L20" i="4" s="1"/>
  <c r="P20" i="4" s="1"/>
  <c r="G42" i="11"/>
  <c r="H42" i="11" s="1"/>
  <c r="G54" i="11"/>
  <c r="H54" i="11" s="1"/>
  <c r="G26" i="11"/>
  <c r="H26" i="11" s="1"/>
  <c r="E28" i="11"/>
  <c r="G28" i="11" s="1"/>
  <c r="H28" i="11" s="1"/>
  <c r="E6" i="4"/>
  <c r="E65" i="11"/>
  <c r="G65" i="11" s="1"/>
  <c r="H65" i="11" s="1"/>
  <c r="E13" i="4"/>
  <c r="H63" i="11"/>
  <c r="E56" i="11"/>
  <c r="E10" i="4"/>
  <c r="G44" i="11"/>
  <c r="H44" i="11" s="1"/>
  <c r="Q20" i="4" l="1"/>
  <c r="L7" i="4"/>
  <c r="Q7" i="4" s="1"/>
  <c r="E8" i="4"/>
  <c r="L43" i="4" s="1"/>
  <c r="L11" i="4"/>
  <c r="L18" i="4"/>
  <c r="E14" i="4"/>
  <c r="L14" i="4"/>
  <c r="L8" i="4"/>
  <c r="L17" i="4"/>
  <c r="L40" i="4"/>
  <c r="M39" i="4" s="1"/>
  <c r="J40" i="4"/>
  <c r="L15" i="4"/>
  <c r="E67" i="11"/>
  <c r="G56" i="11"/>
  <c r="H56" i="11" s="1"/>
  <c r="P15" i="4" l="1"/>
  <c r="Q15" i="4"/>
  <c r="M7" i="4"/>
  <c r="O7" i="4" s="1"/>
  <c r="P8" i="4"/>
  <c r="Q8" i="4"/>
  <c r="M10" i="4"/>
  <c r="P11" i="4"/>
  <c r="Q11" i="4"/>
  <c r="P40" i="4"/>
  <c r="Q40" i="4"/>
  <c r="K39" i="4"/>
  <c r="M14" i="4"/>
  <c r="Q14" i="4"/>
  <c r="P14" i="4"/>
  <c r="J43" i="4"/>
  <c r="E15" i="4"/>
  <c r="M42" i="4"/>
  <c r="P7" i="4"/>
  <c r="E69" i="11"/>
  <c r="G67" i="11"/>
  <c r="H67" i="11" s="1"/>
  <c r="M17" i="4"/>
  <c r="Q17" i="4"/>
  <c r="P17" i="4"/>
  <c r="L21" i="4"/>
  <c r="Q18" i="4"/>
  <c r="P18" i="4"/>
  <c r="O17" i="4" l="1"/>
  <c r="M20" i="4"/>
  <c r="P21" i="4"/>
  <c r="Q21" i="4"/>
  <c r="O14" i="4"/>
  <c r="P43" i="4"/>
  <c r="Q43" i="4"/>
  <c r="K42" i="4"/>
  <c r="O39" i="4"/>
  <c r="O20" i="4" l="1"/>
  <c r="O42" i="4"/>
  <c r="D65" i="13" l="1"/>
  <c r="D66" i="13" s="1"/>
  <c r="D30" i="4" l="1"/>
  <c r="D31" i="4" l="1"/>
  <c r="G63" i="13" l="1"/>
  <c r="H63" i="13" s="1"/>
  <c r="E65" i="13"/>
  <c r="E66" i="13" s="1"/>
  <c r="G64" i="13"/>
  <c r="H64" i="13" s="1"/>
  <c r="G66" i="13" l="1"/>
  <c r="H66" i="13" s="1"/>
  <c r="E30" i="4"/>
  <c r="G65" i="13"/>
  <c r="H65" i="13" s="1"/>
  <c r="D32" i="4" l="1"/>
  <c r="D33" i="4" s="1"/>
  <c r="G70" i="13"/>
  <c r="H70" i="13" s="1"/>
  <c r="D73" i="13"/>
  <c r="E31" i="4"/>
  <c r="E33" i="4" s="1"/>
  <c r="J10" i="4" l="1"/>
  <c r="D34" i="4"/>
  <c r="Q10" i="4" l="1"/>
  <c r="P10" i="4"/>
  <c r="K10" i="4"/>
  <c r="O10" i="4" l="1"/>
  <c r="G69" i="13" l="1"/>
  <c r="H69" i="13" s="1"/>
  <c r="G71" i="13" l="1"/>
  <c r="H71" i="13" s="1"/>
  <c r="E73" i="13"/>
</calcChain>
</file>

<file path=xl/sharedStrings.xml><?xml version="1.0" encoding="utf-8"?>
<sst xmlns="http://schemas.openxmlformats.org/spreadsheetml/2006/main" count="576" uniqueCount="413">
  <si>
    <t>Pasivos corrientes</t>
  </si>
  <si>
    <t>Pasivos no corrientes</t>
  </si>
  <si>
    <t>Activos corrientes</t>
  </si>
  <si>
    <t>Activos no corrientes</t>
  </si>
  <si>
    <t xml:space="preserve"> </t>
  </si>
  <si>
    <t>INDICADORES FINANCIEROS</t>
  </si>
  <si>
    <t>BALANCE</t>
  </si>
  <si>
    <t>LIQUIDEZ</t>
  </si>
  <si>
    <t>M$</t>
  </si>
  <si>
    <t>LIQUIDEZ CORRIENTE</t>
  </si>
  <si>
    <t>=</t>
  </si>
  <si>
    <t>TOTAL</t>
  </si>
  <si>
    <t>RAZON ACIDA</t>
  </si>
  <si>
    <t>ENDEUDAMIENTO</t>
  </si>
  <si>
    <t>ENDEUDAMIENTO TOTAL</t>
  </si>
  <si>
    <t xml:space="preserve">Pasivo exigible </t>
  </si>
  <si>
    <t>EERR</t>
  </si>
  <si>
    <t>DEUDA A CORTO PLAZO</t>
  </si>
  <si>
    <t xml:space="preserve">Deuda total </t>
  </si>
  <si>
    <t>DEUDA A LARGO PLAZO</t>
  </si>
  <si>
    <t>COBERTURA DE GASTOS FINANCIEROS</t>
  </si>
  <si>
    <t>Resultado antes de imptos e intereses</t>
  </si>
  <si>
    <t>GASTOS FINANCIEROS</t>
  </si>
  <si>
    <t>Gastos financieros</t>
  </si>
  <si>
    <t>R.A.I.I.D.A.I.E.</t>
  </si>
  <si>
    <t>UTILIDAD DESPUES DE IMPUESTO</t>
  </si>
  <si>
    <t>Impuesto Renta</t>
  </si>
  <si>
    <t>R.A.I.I.D.A.I.E</t>
  </si>
  <si>
    <t>Flujo neto total del período</t>
  </si>
  <si>
    <t xml:space="preserve"> Impuestos</t>
  </si>
  <si>
    <t xml:space="preserve"> Intereses (Gastos financieros)</t>
  </si>
  <si>
    <t>Saldo inicial de Efectivo</t>
  </si>
  <si>
    <t>Saldo final del Efectivo</t>
  </si>
  <si>
    <t xml:space="preserve">Items extrordinarios </t>
  </si>
  <si>
    <t xml:space="preserve">RENTABILIDAD </t>
  </si>
  <si>
    <t>RENTABILIDAD DEL PATRIMONIO</t>
  </si>
  <si>
    <t>Utilidad o pérdida del ejercicio</t>
  </si>
  <si>
    <t>RENTABILIDAD DEL ACTIVO</t>
  </si>
  <si>
    <t>Total Activos (promedios)</t>
  </si>
  <si>
    <t>UTILIDAD POR ACCION</t>
  </si>
  <si>
    <t xml:space="preserve">Resultado </t>
  </si>
  <si>
    <t xml:space="preserve">N° de acciones suscritas y pagadas </t>
  </si>
  <si>
    <t>RETORNO DE DIVIDENDOS</t>
  </si>
  <si>
    <t xml:space="preserve">Dividendos pagados </t>
  </si>
  <si>
    <t xml:space="preserve">Precio mercado acción </t>
  </si>
  <si>
    <t>Activo corriente</t>
  </si>
  <si>
    <t>Pasivo corriente</t>
  </si>
  <si>
    <t>ACTIVO CORRIENTE</t>
  </si>
  <si>
    <t>ACTIVO NO  CORRIENTE</t>
  </si>
  <si>
    <t>PASIVO NO CORRIENTE</t>
  </si>
  <si>
    <t>PASIVO  CORRIENTE</t>
  </si>
  <si>
    <t>PARTICIPACION MINORITARIOS</t>
  </si>
  <si>
    <t>Flujo de actividades de operaciones</t>
  </si>
  <si>
    <t>Flujo de actividades de inversión</t>
  </si>
  <si>
    <t>Flujo de actividades de financiación</t>
  </si>
  <si>
    <t>Saldo flujo de caja y efectivo</t>
  </si>
  <si>
    <t>Pasivo no corriente</t>
  </si>
  <si>
    <t xml:space="preserve"> Utilidad </t>
  </si>
  <si>
    <t>Ingresos de explotacion</t>
  </si>
  <si>
    <t>Ingresos Ordinarios, Total</t>
  </si>
  <si>
    <t>Costo de Ventas</t>
  </si>
  <si>
    <t>Depreciacion  y amoritzaciones</t>
  </si>
  <si>
    <t>Depreciación y amortización</t>
  </si>
  <si>
    <t>Interes minoritarios</t>
  </si>
  <si>
    <t>Liquidez</t>
  </si>
  <si>
    <t>veces</t>
  </si>
  <si>
    <t>Endeudamiento</t>
  </si>
  <si>
    <t>Deuda corriente</t>
  </si>
  <si>
    <t>Deuda no corriente</t>
  </si>
  <si>
    <t>Rentabilidad</t>
  </si>
  <si>
    <t>%</t>
  </si>
  <si>
    <t>$</t>
  </si>
  <si>
    <t>Total activos</t>
  </si>
  <si>
    <t>Total pasivos</t>
  </si>
  <si>
    <t>FLUJO</t>
  </si>
  <si>
    <t>Utilidad antes de impuestos (incluye minoritario)</t>
  </si>
  <si>
    <t>Resultado de Explotacion</t>
  </si>
  <si>
    <t>Ingresos Financieros</t>
  </si>
  <si>
    <t>Costos Financieros</t>
  </si>
  <si>
    <t>Diferencia de Cambio</t>
  </si>
  <si>
    <t>Resultado por Unidades Reajustables</t>
  </si>
  <si>
    <t>Resultado Financiero</t>
  </si>
  <si>
    <t>Otros Gastos Distintos de la Operación</t>
  </si>
  <si>
    <t>Resultado antes de Impuesto</t>
  </si>
  <si>
    <t>Impuestos a las Ganancias</t>
  </si>
  <si>
    <t>Interes Minoritario</t>
  </si>
  <si>
    <t>Resultado del Ejercicio</t>
  </si>
  <si>
    <t>Ganancias en venta de activos no corrientes</t>
  </si>
  <si>
    <t>GANANCIAS  tenedores de instrumentos</t>
  </si>
  <si>
    <t>Productos no regulados no sanitarios</t>
  </si>
  <si>
    <t>Patrimonio promedio controladora</t>
  </si>
  <si>
    <t>Gastos por beneficios a los empleados</t>
  </si>
  <si>
    <t>Gastos por depreciación y amortización</t>
  </si>
  <si>
    <t>Otros gastos, por naturaleza</t>
  </si>
  <si>
    <t>Patrimonio atribuible a los propietarios de la controladora</t>
  </si>
  <si>
    <t>Participaciones no controladoras</t>
  </si>
  <si>
    <t>Patrimonio total</t>
  </si>
  <si>
    <t>Ingresos financieros</t>
  </si>
  <si>
    <t>PATRIMONIO CONTROLADORA</t>
  </si>
  <si>
    <t xml:space="preserve">Ingresos  de actividades ordinarias, total </t>
  </si>
  <si>
    <t>Materias primas y consumibles utilizados</t>
  </si>
  <si>
    <t>Reversión de pérdidas  por deterioro de valor (pérdidas por deterioro de valor)  reconocidas en el resultado del período</t>
  </si>
  <si>
    <t>Otros gastos</t>
  </si>
  <si>
    <t>Ganancia atribuible a los propietarios de la controladora</t>
  </si>
  <si>
    <t>Acum Junio 2010</t>
  </si>
  <si>
    <t>ACTIVOS</t>
  </si>
  <si>
    <t>Nota</t>
  </si>
  <si>
    <t>ACTIVOS CORRIENTES</t>
  </si>
  <si>
    <t>Efectivo y equivalentes al efectivo</t>
  </si>
  <si>
    <t>Otros activos no financieros</t>
  </si>
  <si>
    <t>Deudores comerciales y otras cuentas por cobrar</t>
  </si>
  <si>
    <t>Cuentas por cobrar a entidades relacionadas</t>
  </si>
  <si>
    <t>Inventarios</t>
  </si>
  <si>
    <t>Total de activos corrientes distintos de los activos o grupos de activos para su disposición clasificados como mantenidos para la venta o como mantenidos para distribuir a los propietarios</t>
  </si>
  <si>
    <t>ACTIVOS CORRIENTES TOTALES</t>
  </si>
  <si>
    <t>Activos intangibles distintos de la plusvalía</t>
  </si>
  <si>
    <t>Plusvalía</t>
  </si>
  <si>
    <t>TOTAL DE ACTIVOS NO CORRIENTES</t>
  </si>
  <si>
    <t>PATRIMONIO Y PASIVOS</t>
  </si>
  <si>
    <t>PASIVOS CORRIENTES</t>
  </si>
  <si>
    <t>Cuentas por pagar a entidades relacionadas</t>
  </si>
  <si>
    <t>Pasivos por impuestos</t>
  </si>
  <si>
    <t>PASIVOS CORRIENTES TOTALES</t>
  </si>
  <si>
    <t>PASIVOS NO CORRIENTES</t>
  </si>
  <si>
    <t>Otras provisiones</t>
  </si>
  <si>
    <t>Pasivo por impuestos diferidos</t>
  </si>
  <si>
    <t>Otras cuentas por pagar</t>
  </si>
  <si>
    <t>TOTAL PASIVOS</t>
  </si>
  <si>
    <t>Capital emitido</t>
  </si>
  <si>
    <t>Otras participaciones en el patrimonio</t>
  </si>
  <si>
    <t>Ganancia</t>
  </si>
  <si>
    <t xml:space="preserve">Ganancia </t>
  </si>
  <si>
    <t xml:space="preserve">Ganancias por acción básica </t>
  </si>
  <si>
    <t>Clases de cobros por actividades de operación</t>
  </si>
  <si>
    <t>Cobros procedentes de las ventas de bienes y prestación de servicios</t>
  </si>
  <si>
    <t>Cobros procedentes de contratos mantenidos con propósitos de intermediación o para negociar</t>
  </si>
  <si>
    <t>Cobros procedentes de regalías, cuotas, comisiones y otros ingresos de actividades ordinarias</t>
  </si>
  <si>
    <t>Cobros procedentes de primas y prestaciones, anualidades y otros beneficios de pólizas suscritas</t>
  </si>
  <si>
    <t>Otros cobros por actividades de operación</t>
  </si>
  <si>
    <t>Pagos a proveedores por el suministro de bienes y servicios</t>
  </si>
  <si>
    <t>Pagos procedentes de contratos mantenidos para intermediación o para negociar</t>
  </si>
  <si>
    <t>Pagos a y por cuenta de los empleados</t>
  </si>
  <si>
    <t>Pagos por primas y prestaciones, anualidades y otras obligaciones derivadas de las pólizas suscritas</t>
  </si>
  <si>
    <t>Otros pagos por actividades de operación</t>
  </si>
  <si>
    <t>Dividendos pagados</t>
  </si>
  <si>
    <t>Dividendos recibidos</t>
  </si>
  <si>
    <t>Intereses pagados</t>
  </si>
  <si>
    <t>Intereses recibidos</t>
  </si>
  <si>
    <t>Flujos de efectivo procedentes de la pérdida de control de subsidiarias u otros negocios</t>
  </si>
  <si>
    <t>Flujos de efectivo utilizados para obtener el control de subsidiarias u otros negocios</t>
  </si>
  <si>
    <t>Flujos de efectivo utilizados en la compra de participaciones no controladoras</t>
  </si>
  <si>
    <t>Otros cobros por la venta de patrimonio o instrumentos de deuda de otras entidades</t>
  </si>
  <si>
    <t>Otros pagos para adquirir patrimonio o instrumentos de deuda de otras entidades</t>
  </si>
  <si>
    <t>Otros cobros por la venta de participaciones en negocios conjuntos</t>
  </si>
  <si>
    <t>Otros pagos para adquirir participaciones en negocios conjuntos</t>
  </si>
  <si>
    <t>Préstamos a entidades relacionadas</t>
  </si>
  <si>
    <t>Compras de propiedades, planta y equipo</t>
  </si>
  <si>
    <t>Compras de activos intangibles</t>
  </si>
  <si>
    <t>Compras de otros activos a largo plazo</t>
  </si>
  <si>
    <t>Importes procedentes de subvenciones del gobierno</t>
  </si>
  <si>
    <t>Anticipos de efectivo y préstamos concedidos a terceros</t>
  </si>
  <si>
    <t>Cobros procedentes del reembolso de anticipos y préstamos concedidos a terceros</t>
  </si>
  <si>
    <t>Pagos derivados de contratos de futuro, a término, de opciones y de permuta financiera</t>
  </si>
  <si>
    <t>Cobros procedentes de contratos de futuro, a término, de opciones y de permuta financiera</t>
  </si>
  <si>
    <t>Impuestos a las ganancias reembolsados (pagados)</t>
  </si>
  <si>
    <t>Otras entradas (salidas) de efectivo</t>
  </si>
  <si>
    <t>Importes procedentes de la emisión de acciones</t>
  </si>
  <si>
    <t>Importes procedentes de la emisión de otros instrumentos de patrimonio</t>
  </si>
  <si>
    <t>Pagos por adquirir o rescatar las acciones de la entidad</t>
  </si>
  <si>
    <t>Pagos por otras participaciones en el patrimonio</t>
  </si>
  <si>
    <t>Importes procedentes de préstamos de largo plazo</t>
  </si>
  <si>
    <t>Importes procedentes de préstamos de corto plazo</t>
  </si>
  <si>
    <t>Préstamos de entidades relacionadas</t>
  </si>
  <si>
    <t>Pagos de pasivos por arrendamientos financieros</t>
  </si>
  <si>
    <t>Pagos de préstamos a entidades relacionadas</t>
  </si>
  <si>
    <t>Efectos de la variación en la tasa de cambio sobre el efectivo y equivalentes al efectivo</t>
  </si>
  <si>
    <t>EcoRiles S.A.</t>
  </si>
  <si>
    <t>Ingresos Ordinarios</t>
  </si>
  <si>
    <t>Aguas Andinas Consolidado</t>
  </si>
  <si>
    <t>Análisis Razonado</t>
  </si>
  <si>
    <t>RESULTADO POR NATURALEZA</t>
  </si>
  <si>
    <t>% Var.</t>
  </si>
  <si>
    <t>Activos</t>
  </si>
  <si>
    <t>Total pasivos y patrimonio</t>
  </si>
  <si>
    <t>Actividades de la operación</t>
  </si>
  <si>
    <t>Actividades de inversión</t>
  </si>
  <si>
    <t>Actividades de financiación</t>
  </si>
  <si>
    <t>Saldo final de efectivo</t>
  </si>
  <si>
    <t>Razón ácida</t>
  </si>
  <si>
    <t>Endeudamiento total</t>
  </si>
  <si>
    <t>Costos y Gastos de Operación</t>
  </si>
  <si>
    <t>EBITDA</t>
  </si>
  <si>
    <t>Depreciación y Amortización</t>
  </si>
  <si>
    <t>Resultado de Explotación</t>
  </si>
  <si>
    <t>Resultado Financiero*</t>
  </si>
  <si>
    <t>Utilidad Neta</t>
  </si>
  <si>
    <t>Ventas</t>
  </si>
  <si>
    <t>Participación</t>
  </si>
  <si>
    <t>Total</t>
  </si>
  <si>
    <t>Diferencia</t>
  </si>
  <si>
    <t>Clientes</t>
  </si>
  <si>
    <t>Liquidez corriente</t>
  </si>
  <si>
    <t> Moneda</t>
  </si>
  <si>
    <t> Total</t>
  </si>
  <si>
    <t>12 meses</t>
  </si>
  <si>
    <t>AFRs</t>
  </si>
  <si>
    <t>Retorno de dividendos (*)</t>
  </si>
  <si>
    <t>Resultados</t>
  </si>
  <si>
    <t>Análisis de Ingresos</t>
  </si>
  <si>
    <t>Servicios No-Sanitarios</t>
  </si>
  <si>
    <t>Total patrimonio</t>
  </si>
  <si>
    <t>Totales</t>
  </si>
  <si>
    <t>Pasivos y patrimonio</t>
  </si>
  <si>
    <t>1 a 3 años</t>
  </si>
  <si>
    <t>3 a 5 años</t>
  </si>
  <si>
    <t>más de 5 años</t>
  </si>
  <si>
    <t>Variable</t>
  </si>
  <si>
    <t>Fija</t>
  </si>
  <si>
    <t>Cobertura gastos financieros anualizado</t>
  </si>
  <si>
    <t>Rentabilidad del patrimonio atribuible a los propietarios de la controladora anualizado</t>
  </si>
  <si>
    <t>Rentabilidad activos anualizado</t>
  </si>
  <si>
    <t>Utilidad por acción anualizado</t>
  </si>
  <si>
    <t>Estado de Flujo de efectivo directo</t>
  </si>
  <si>
    <t>Clases de pagos en efectivo procedentes de actividades de operación</t>
  </si>
  <si>
    <t>Recursos por ventas de otros activos a largo plazo</t>
  </si>
  <si>
    <t>Cobros a entidades relacionadas</t>
  </si>
  <si>
    <t>Flujos de efectivo procedentes de (utilizados en) actividades de inversión</t>
  </si>
  <si>
    <t>Reembolsos de préstamos</t>
  </si>
  <si>
    <t>Incremento (disminución) neto de efectivo y equivalentes al efectivo</t>
  </si>
  <si>
    <t>Efectivo y equivalentes al efectivo al principio del periodo</t>
  </si>
  <si>
    <t>Efectivo y equivalentes al efectivo al final del periodo</t>
  </si>
  <si>
    <t>Gasto por impuestos</t>
  </si>
  <si>
    <t>Interconexiones*</t>
  </si>
  <si>
    <t>Bonos</t>
  </si>
  <si>
    <t>Préstamos</t>
  </si>
  <si>
    <t>Importes procedentes de ventas de activos intangibles</t>
  </si>
  <si>
    <t>Otros pasivos no financieros</t>
  </si>
  <si>
    <t>Variación en</t>
  </si>
  <si>
    <t>Periodo</t>
  </si>
  <si>
    <t>Trimestre</t>
  </si>
  <si>
    <t>Estado de Resultados (M$)</t>
  </si>
  <si>
    <t>(M$)</t>
  </si>
  <si>
    <t>Inversiones (M$)</t>
  </si>
  <si>
    <t>Composición por instrumento</t>
  </si>
  <si>
    <t>Composición por tasas</t>
  </si>
  <si>
    <t>Otros activos financieros</t>
  </si>
  <si>
    <t>Derechos por cobrar</t>
  </si>
  <si>
    <t>TOTAL DE ACTIVOS</t>
  </si>
  <si>
    <t>TOTAL DE PASIVOS NO CORRIENTES</t>
  </si>
  <si>
    <t>PATRIMONIO</t>
  </si>
  <si>
    <t xml:space="preserve">PATRIMONIO TOTAL </t>
  </si>
  <si>
    <t>TOTAL DE PATRIMONIO Y PASIVOS</t>
  </si>
  <si>
    <t>Ganancia antes de impuestos</t>
  </si>
  <si>
    <t>Ganancia procedente de operaciones continuadas</t>
  </si>
  <si>
    <t>Ganancia atribuible a</t>
  </si>
  <si>
    <t xml:space="preserve">Ganancias por acción </t>
  </si>
  <si>
    <t>Resultados Acumulados Segmento Agua</t>
  </si>
  <si>
    <t>Resultados Acumulados Segmento No Agua</t>
  </si>
  <si>
    <t>Flujo neto del ejercicio</t>
  </si>
  <si>
    <t>Deuda Financiera M$</t>
  </si>
  <si>
    <t>Agua potable</t>
  </si>
  <si>
    <t>Aguas servidas</t>
  </si>
  <si>
    <t>Otros ingresos regulados</t>
  </si>
  <si>
    <t>Ingresos no-regulados</t>
  </si>
  <si>
    <t>Ingresos ordinarios</t>
  </si>
  <si>
    <t>Costos y gastos de operación</t>
  </si>
  <si>
    <t>Resultado de explotación</t>
  </si>
  <si>
    <t>Otras ganancias</t>
  </si>
  <si>
    <t>Resultado financiero*</t>
  </si>
  <si>
    <t>Utilidad neta</t>
  </si>
  <si>
    <t xml:space="preserve">Agua potable </t>
  </si>
  <si>
    <t>Recolección aguas servidas</t>
  </si>
  <si>
    <t>Tratamiento y disposición AS</t>
  </si>
  <si>
    <r>
      <t>Volumen de Venta (miles de m</t>
    </r>
    <r>
      <rPr>
        <b/>
        <vertAlign val="superscript"/>
        <sz val="9"/>
        <color rgb="FF44546A"/>
        <rFont val="Calibri"/>
        <family val="2"/>
      </rPr>
      <t>3</t>
    </r>
    <r>
      <rPr>
        <b/>
        <sz val="9"/>
        <color rgb="FF44546A"/>
        <rFont val="Calibri"/>
        <family val="2"/>
      </rPr>
      <t>)</t>
    </r>
  </si>
  <si>
    <t>Ingresos externos</t>
  </si>
  <si>
    <t>Ingresos segmentos</t>
  </si>
  <si>
    <t>Otras ganancias (pérdidas)</t>
  </si>
  <si>
    <t>Estados de Flujos de Efectivo (M$)</t>
  </si>
  <si>
    <t>Dividendos: indicar pago últimos 12 meses histórico</t>
  </si>
  <si>
    <t xml:space="preserve">      % Var.</t>
  </si>
  <si>
    <t>Pasivo por arrendamientos</t>
  </si>
  <si>
    <t>ACTIVOS NO CORRIENTES</t>
  </si>
  <si>
    <t>Total de pasivos corrientes distintos de los pasivos incluidos en grupos de pasivos para su disposición clasificados como mantenidos para la venta</t>
  </si>
  <si>
    <t xml:space="preserve">ESTADOS DE RESULTADOS POR NATURALEZA </t>
  </si>
  <si>
    <t>Ingresos de actividades ordinarias</t>
  </si>
  <si>
    <t>https://www.bolsadesantiago.com/#/cierre_bursatil</t>
  </si>
  <si>
    <t>Otras (Pérdidas) Ganancias</t>
  </si>
  <si>
    <t>Control</t>
  </si>
  <si>
    <t>TOTAL ACTIVO</t>
  </si>
  <si>
    <t>Anam S.A.</t>
  </si>
  <si>
    <t>Ganancias por acción básica en operaciones continuadas ($)</t>
  </si>
  <si>
    <t>Importes procedentes de ventas de propiedades, planta y equipo</t>
  </si>
  <si>
    <t>Activos por derecho de uso</t>
  </si>
  <si>
    <t>Pasivos por arrendamientos</t>
  </si>
  <si>
    <t>Ganancias (pérdidas) de actividades operacionales</t>
  </si>
  <si>
    <t>Ganancias (pérdidas) de cambio en moneda extranjera</t>
  </si>
  <si>
    <t>Miles $</t>
  </si>
  <si>
    <t>Bono</t>
  </si>
  <si>
    <t>AFR</t>
  </si>
  <si>
    <t>Pasivo por arrendamiento</t>
  </si>
  <si>
    <t>Préstamos bancarios</t>
  </si>
  <si>
    <t>Aportes financieros reembolsables</t>
  </si>
  <si>
    <t xml:space="preserve">Total </t>
  </si>
  <si>
    <t>Préstamos bancarios variable</t>
  </si>
  <si>
    <t>Préstamos bancarios fijo</t>
  </si>
  <si>
    <t>Inversiones contabilizadas utilizando el método de la partic</t>
  </si>
  <si>
    <t>Participación en las ganancias (pérdidas) de asociadas y negocion conjuntos</t>
  </si>
  <si>
    <t>Ganancia (pérdida) procedente de operaciones discontinuadas</t>
  </si>
  <si>
    <t>Flujos de efectivo procedentes (utilizados en) operaciones</t>
  </si>
  <si>
    <t>Flujos de efectivo procedentes de (utilizados en) actividades de operación</t>
  </si>
  <si>
    <t>Importes procedentes de préstamos, clasificados como actividades de financiación</t>
  </si>
  <si>
    <t>Flujos de efectivo procedentes de (utilizados en) actividades de financiación</t>
  </si>
  <si>
    <t xml:space="preserve">Incremento (disminución) en el efectivo y equivalentes al efectivo, antes del efecto de los cambios en la tasa de cambio </t>
  </si>
  <si>
    <t>&lt;(200%)</t>
  </si>
  <si>
    <t>Total otros pasivos financieros</t>
  </si>
  <si>
    <t>Total pasivos por arrendamiento</t>
  </si>
  <si>
    <t>Otras reservas</t>
  </si>
  <si>
    <t xml:space="preserve">Pérdidas por deterioro de valor </t>
  </si>
  <si>
    <t>Pérdidas por deterioro de valor</t>
  </si>
  <si>
    <t xml:space="preserve">venta de materiales </t>
  </si>
  <si>
    <t>afr</t>
  </si>
  <si>
    <t xml:space="preserve">pago de AFR </t>
  </si>
  <si>
    <t>pago de bono</t>
  </si>
  <si>
    <t xml:space="preserve">aumento de tasa en los instrumentos de renta fija </t>
  </si>
  <si>
    <t>Menor inversión</t>
  </si>
  <si>
    <t xml:space="preserve">Colocacion Bonos </t>
  </si>
  <si>
    <t xml:space="preserve">Mayor facturacion por consumo periodo verano </t>
  </si>
  <si>
    <t>Reclasificacion activacion Repuestos de Activo fijo</t>
  </si>
  <si>
    <t xml:space="preserve">Provisión intereses bonos - AFR </t>
  </si>
  <si>
    <t xml:space="preserve">Avance obra menor pago proveedores </t>
  </si>
  <si>
    <t>Hidrogistica S.A.</t>
  </si>
  <si>
    <t xml:space="preserve">Derivado </t>
  </si>
  <si>
    <t>Dic-22</t>
  </si>
  <si>
    <t xml:space="preserve">EUR </t>
  </si>
  <si>
    <t xml:space="preserve">Forward </t>
  </si>
  <si>
    <t>Gasto por depreciación y amortización</t>
  </si>
  <si>
    <t>Ganancias por deterioro y reversos de pérdidas por deterioro (Pérdidas por deterioro) determinado de acuerdo con NIIF 9  sobre activos financieros</t>
  </si>
  <si>
    <t>Costos financieros</t>
  </si>
  <si>
    <t>Resultado por unidades reajustables</t>
  </si>
  <si>
    <t>Gastos por impuestos a las ganancias</t>
  </si>
  <si>
    <t>Activos por impuestos corrientes</t>
  </si>
  <si>
    <t>Activos no corrientes mantenidos para la venta</t>
  </si>
  <si>
    <t>Propiedades, plantas y equipos</t>
  </si>
  <si>
    <t>Activos por impuestos diferidos</t>
  </si>
  <si>
    <t>Cuentas por pagar comerciales y otras cuentas por pagar</t>
  </si>
  <si>
    <t>Provisiones corrientes por beneficios a los empleados</t>
  </si>
  <si>
    <t>Pasivos incluidos en grupos de activos para su disposición clasificados como mantenidos para la venta</t>
  </si>
  <si>
    <t>Provisiones no corrientes por beneficios a los empleados</t>
  </si>
  <si>
    <t>Ganancias (perdidas) acumuladas</t>
  </si>
  <si>
    <t>Primas de emisión</t>
  </si>
  <si>
    <t>Otros activos no financieros no corrientes</t>
  </si>
  <si>
    <t>Otros activos financieros no corrientes</t>
  </si>
  <si>
    <t>Cuentas por pagar a entidades relacionadas no corrientes</t>
  </si>
  <si>
    <t>Otros pasivos financieros no corrientes</t>
  </si>
  <si>
    <t xml:space="preserve">Otros pasivos financieros </t>
  </si>
  <si>
    <t>Pasivos por arrendamientos no corrientes</t>
  </si>
  <si>
    <t>Otros pasivos no financieros no corrientes</t>
  </si>
  <si>
    <t>Otras provisiones no corrientes</t>
  </si>
  <si>
    <t>Dic-23</t>
  </si>
  <si>
    <t>Dic 23 -Dic 22</t>
  </si>
  <si>
    <t xml:space="preserve">Impuestos a las ganancias (pagados) </t>
  </si>
  <si>
    <t>Dividendos pagados - actividades de operación</t>
  </si>
  <si>
    <t>Dividendos recibidos - actividades de operación</t>
  </si>
  <si>
    <t>Intereses pagados - actividades de operación</t>
  </si>
  <si>
    <t>Intereses recibidos - actividades de operación</t>
  </si>
  <si>
    <t>Otras entradas (salidas) de efectivo - actividades de operación</t>
  </si>
  <si>
    <t>Importes procedentes de subvenciones del gobierno - inversión</t>
  </si>
  <si>
    <t>Impuestos a las ganancias reembolsados (pagados) - inversión</t>
  </si>
  <si>
    <t>Otras entradas (salidas) de efectivo - inversión</t>
  </si>
  <si>
    <t>Efectos de la variación en la tasa de cambio sobre el efectivo y equivalentes al efectivo.</t>
  </si>
  <si>
    <t>Mes de pago: dic 23</t>
  </si>
  <si>
    <t>Interes minoritario</t>
  </si>
  <si>
    <t>Bonos/Derivado</t>
  </si>
  <si>
    <t>Interés Minoritario</t>
  </si>
  <si>
    <t xml:space="preserve">         Dic. 23</t>
  </si>
  <si>
    <t>2024 / 2023</t>
  </si>
  <si>
    <t>Mes de pago: mar 23</t>
  </si>
  <si>
    <t>Renovación de redes de Aguas Servidas</t>
  </si>
  <si>
    <t>Arranques y Medidores</t>
  </si>
  <si>
    <t>Renovación de redes de Aguas Potable</t>
  </si>
  <si>
    <t>Sondajes y refuerzos de sistema de abastecimiento de agua</t>
  </si>
  <si>
    <t>Plan de Eficiencia Hidráulica</t>
  </si>
  <si>
    <t>Plan de Macromedición Pozos y Estanques</t>
  </si>
  <si>
    <t>Renovación Filtros Vizcachitas - Tagle</t>
  </si>
  <si>
    <t>Ampliación Planta Elevadora de Agua Potable Tocornal</t>
  </si>
  <si>
    <t>Otros proyectos de inversión</t>
  </si>
  <si>
    <t>01-04-2023
30-06-2023</t>
  </si>
  <si>
    <t>01-04-2024
30-06-2024</t>
  </si>
  <si>
    <t>Ganancia, atribuible a participaciones no controladora</t>
  </si>
  <si>
    <t>12-14-15</t>
  </si>
  <si>
    <t>24</t>
  </si>
  <si>
    <t>Jun-24</t>
  </si>
  <si>
    <t>Jun-23</t>
  </si>
  <si>
    <t>30-06-2024</t>
  </si>
  <si>
    <t>Jun 24 - Jun 23</t>
  </si>
  <si>
    <t>Ejercicio 2023</t>
  </si>
  <si>
    <t>Acum jun 2023</t>
  </si>
  <si>
    <t>Acum jun 2024</t>
  </si>
  <si>
    <t>Periodo jun 2024 - jun 2023</t>
  </si>
  <si>
    <t>Mes de pago: may 24</t>
  </si>
  <si>
    <t>Jun.24</t>
  </si>
  <si>
    <t>Interés minoritario</t>
  </si>
  <si>
    <t>2T23</t>
  </si>
  <si>
    <t>2T24</t>
  </si>
  <si>
    <t>2T24 – 2T23</t>
  </si>
  <si>
    <t>Jun.23</t>
  </si>
  <si>
    <t>Aspectos financieros al 30-06-2024</t>
  </si>
  <si>
    <t>Forward</t>
  </si>
  <si>
    <t>Biogenera S.A.</t>
  </si>
  <si>
    <t>Reposición de Activos de Biofactorías La Farfana-Trebal</t>
  </si>
  <si>
    <t xml:space="preserve">Ampliación Planta de Tratamiento Agua Potable Padre Hurtado           </t>
  </si>
  <si>
    <t>Compras de Derechos de Agua</t>
  </si>
  <si>
    <t xml:space="preserve">Obras Seguridad Conducción Manzano – Pirque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</si>
</sst>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3">
    <numFmt numFmtId="41" formatCode="_ * #,##0_ ;_ * \-#,##0_ ;_ * &quot;-&quot;_ ;_ @_ "/>
    <numFmt numFmtId="164" formatCode="_-* #,##0.00_-;\-* #,##0.00_-;_-* &quot;-&quot;??_-;_-@_-"/>
    <numFmt numFmtId="165" formatCode="_(* #,##0_);_(* \(#,##0\);_(* &quot;-&quot;_);_(@_)"/>
    <numFmt numFmtId="166" formatCode="_(* #,##0.00_);_(* \(#,##0.00\);_(* &quot;-&quot;??_);_(@_)"/>
    <numFmt numFmtId="167" formatCode="_-* #,##0.00\ _€_-;\-* #,##0.00\ _€_-;_-* &quot;-&quot;??\ _€_-;_-@_-"/>
    <numFmt numFmtId="168" formatCode="_-* #,##0.00\ _P_t_s_-;\-* #,##0.00\ _P_t_s_-;_-* &quot;-&quot;??\ _P_t_s_-;_-@_-"/>
    <numFmt numFmtId="169" formatCode="_-* #,##0_-;\-* #,##0_-;_-* &quot;-&quot;??_-;_-@_-"/>
    <numFmt numFmtId="170" formatCode="#,##0;[Red]\(#,##0\)"/>
    <numFmt numFmtId="171" formatCode="##,##0.00;[Red]\(##,##0.00\)"/>
    <numFmt numFmtId="172" formatCode="#,##0.000;[Red]\(#,##0.000\)"/>
    <numFmt numFmtId="173" formatCode="#,##0.00;[Red]\(#,##0.00\)"/>
    <numFmt numFmtId="174" formatCode="#,##0.00;[Red]#,##0.00"/>
    <numFmt numFmtId="175" formatCode="#,##0.0;[Red]\(#,##0.0\)"/>
    <numFmt numFmtId="176" formatCode="_-* #,##0\ _P_t_s_-;\-* #,##0\ _P_t_s_-;_-* &quot;-&quot;??\ _P_t_s_-;_-@_-"/>
    <numFmt numFmtId="177" formatCode="_-* #,##0.000_-;\-* #,##0.000_-;_-* &quot;-&quot;??_-;_-@_-"/>
    <numFmt numFmtId="178" formatCode="_-* #,##0.000000_-;\-* #,##0.000000_-;_-* &quot;-&quot;??????_-;_-@_-"/>
    <numFmt numFmtId="179" formatCode="_-* #,##0.0000_-;\-* #,##0.0000_-;_-* &quot;-&quot;??_-;_-@_-"/>
    <numFmt numFmtId="180" formatCode="_-* #,##0.000\ _P_t_s_-;\-* #,##0.000\ _P_t_s_-;_-* &quot;-&quot;??\ _P_t_s_-;_-@_-"/>
    <numFmt numFmtId="181" formatCode="_-* #,##0.0000\ _P_t_s_-;\-* #,##0.0000\ _P_t_s_-;_-* &quot;-&quot;??\ _P_t_s_-;_-@_-"/>
    <numFmt numFmtId="182" formatCode="0.00000"/>
    <numFmt numFmtId="183" formatCode="0.0000"/>
    <numFmt numFmtId="184" formatCode="0.000"/>
    <numFmt numFmtId="185" formatCode="_-* #,##0.000_-;\-* #,##0.000_-;_-* &quot;-&quot;???_-;_-@_-"/>
    <numFmt numFmtId="186" formatCode="##,##0;\(##,##0\)"/>
    <numFmt numFmtId="187" formatCode="0.0000%"/>
    <numFmt numFmtId="188" formatCode="0.0%"/>
    <numFmt numFmtId="189" formatCode="#,##0;\(\ #,##0\)"/>
    <numFmt numFmtId="190" formatCode="#,##0;\(\ \ #,##0\)"/>
    <numFmt numFmtId="191" formatCode="dd\-mm\-yyyy"/>
    <numFmt numFmtId="192" formatCode="d\-m\-yyyy"/>
    <numFmt numFmtId="193" formatCode="_-* #,##0.00\ &quot;DM&quot;_-;\-* #,##0.00\ &quot;DM&quot;_-;_-* &quot;-&quot;??\ &quot;DM&quot;_-;_-@_-"/>
    <numFmt numFmtId="194" formatCode="_-* #,##0.00\ [$€]_-;\-* #,##0.00\ [$€]_-;_-* &quot;-&quot;??\ [$€]_-;_-@_-"/>
    <numFmt numFmtId="195" formatCode="_-* #,##0\ _D_M_-;\-* #,##0\ _D_M_-;_-* &quot;-&quot;\ _D_M_-;_-@_-"/>
    <numFmt numFmtId="196" formatCode="_-* #,##0.00\ _D_M_-;\-* #,##0.00\ _D_M_-;_-* &quot;-&quot;??\ _D_M_-;_-@_-"/>
    <numFmt numFmtId="197" formatCode="_-* #,##0\ &quot;DM&quot;_-;\-* #,##0\ &quot;DM&quot;_-;_-* &quot;-&quot;\ &quot;DM&quot;_-;_-@_-"/>
    <numFmt numFmtId="198" formatCode="_(* #,##0_);_(* \(#,##0\);_(* &quot;-&quot;??_);_(@_)"/>
    <numFmt numFmtId="199" formatCode="#,##0.000"/>
    <numFmt numFmtId="200" formatCode="#,##0_ ;\-#,##0\ "/>
    <numFmt numFmtId="201" formatCode="#,##0\ ;\(#,##0\);\-\ ;"/>
    <numFmt numFmtId="202" formatCode="0.0%_);\(0.0%\)"/>
    <numFmt numFmtId="203" formatCode="#,##0;\(#,##0\);\-"/>
    <numFmt numFmtId="204" formatCode="#,##0.000;\(#,##0.000\);\-"/>
    <numFmt numFmtId="205" formatCode="#,##0.0"/>
  </numFmts>
  <fonts count="11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44546A"/>
      <name val="Calibri"/>
      <family val="2"/>
    </font>
    <font>
      <b/>
      <vertAlign val="superscript"/>
      <sz val="9"/>
      <color rgb="FF44546A"/>
      <name val="Calibri"/>
      <family val="2"/>
    </font>
    <font>
      <sz val="8"/>
      <color rgb="FF44546A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9"/>
      <color rgb="FF1F3864"/>
      <name val="Calibri"/>
      <family val="2"/>
    </font>
    <font>
      <sz val="11"/>
      <color theme="1"/>
      <name val="Calibri"/>
      <family val="2"/>
      <charset val="177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66"/>
      <name val="Calibri"/>
      <family val="2"/>
      <scheme val="minor"/>
    </font>
    <font>
      <sz val="10"/>
      <color rgb="FF000066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indexed="2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indexed="12"/>
      <name val="Calibri"/>
      <family val="2"/>
      <scheme val="minor"/>
    </font>
    <font>
      <u/>
      <sz val="9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indexed="20"/>
      <name val="Calibri"/>
      <family val="2"/>
      <scheme val="minor"/>
    </font>
    <font>
      <b/>
      <sz val="9"/>
      <color indexed="62"/>
      <name val="Calibri"/>
      <family val="2"/>
      <scheme val="minor"/>
    </font>
    <font>
      <sz val="9"/>
      <color indexed="62"/>
      <name val="Calibri"/>
      <family val="2"/>
      <scheme val="minor"/>
    </font>
    <font>
      <b/>
      <sz val="9"/>
      <color indexed="1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3" tint="0.79998168889431442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name val="Calibri"/>
      <family val="2"/>
    </font>
    <font>
      <b/>
      <sz val="10"/>
      <name val="Cambria"/>
      <family val="2"/>
      <scheme val="major"/>
    </font>
    <font>
      <b/>
      <sz val="10"/>
      <name val="Calibri"/>
      <family val="2"/>
    </font>
  </fonts>
  <fills count="10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/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002060"/>
      </left>
      <right style="medium">
        <color rgb="FF002060"/>
      </right>
      <top/>
      <bottom style="medium">
        <color indexed="64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medium">
        <color indexed="55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/>
      <diagonal/>
    </border>
    <border>
      <left style="thin">
        <color indexed="23"/>
      </left>
      <right style="thin">
        <color indexed="23"/>
      </right>
      <top style="medium">
        <color indexed="55"/>
      </top>
      <bottom/>
      <diagonal/>
    </border>
    <border>
      <left style="thin">
        <color indexed="23"/>
      </left>
      <right style="medium">
        <color indexed="55"/>
      </right>
      <top style="medium">
        <color indexed="55"/>
      </top>
      <bottom/>
      <diagonal/>
    </border>
    <border>
      <left style="medium">
        <color rgb="FF92D050"/>
      </left>
      <right style="thin">
        <color rgb="FF92D050"/>
      </right>
      <top/>
      <bottom/>
      <diagonal/>
    </border>
    <border>
      <left style="thin">
        <color rgb="FF92D050"/>
      </left>
      <right style="medium">
        <color rgb="FF92D050"/>
      </right>
      <top/>
      <bottom/>
      <diagonal/>
    </border>
    <border>
      <left style="medium">
        <color rgb="FF92D050"/>
      </left>
      <right style="thin">
        <color rgb="FF92D050"/>
      </right>
      <top/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/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/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/>
      <bottom style="thin">
        <color rgb="FF92D050"/>
      </bottom>
      <diagonal/>
    </border>
    <border>
      <left style="medium">
        <color rgb="FF92D050"/>
      </left>
      <right/>
      <top style="medium">
        <color rgb="FF92D050"/>
      </top>
      <bottom style="thin">
        <color rgb="FF92D050"/>
      </bottom>
      <diagonal/>
    </border>
    <border>
      <left/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thin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92D05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2060"/>
      </right>
      <top/>
      <bottom/>
      <diagonal/>
    </border>
    <border>
      <left style="thin">
        <color rgb="FF00206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2060"/>
      </right>
      <top/>
      <bottom style="medium">
        <color indexed="64"/>
      </bottom>
      <diagonal/>
    </border>
    <border>
      <left style="thin">
        <color rgb="FF002060"/>
      </left>
      <right style="thin">
        <color rgb="FF002060"/>
      </right>
      <top/>
      <bottom style="medium">
        <color indexed="64"/>
      </bottom>
      <diagonal/>
    </border>
    <border>
      <left style="thin">
        <color rgb="FF00206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</borders>
  <cellStyleXfs count="1706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7" fillId="8" borderId="0" applyNumberFormat="0" applyBorder="0" applyAlignment="0" applyProtection="0"/>
    <xf numFmtId="0" fontId="62" fillId="74" borderId="0" applyNumberFormat="0" applyBorder="0" applyAlignment="0" applyProtection="0"/>
    <xf numFmtId="0" fontId="63" fillId="74" borderId="0" applyNumberFormat="0" applyBorder="0" applyAlignment="0" applyProtection="0"/>
    <xf numFmtId="0" fontId="7" fillId="9" borderId="0" applyNumberFormat="0" applyBorder="0" applyAlignment="0" applyProtection="0"/>
    <xf numFmtId="0" fontId="62" fillId="75" borderId="0" applyNumberFormat="0" applyBorder="0" applyAlignment="0" applyProtection="0"/>
    <xf numFmtId="0" fontId="63" fillId="75" borderId="0" applyNumberFormat="0" applyBorder="0" applyAlignment="0" applyProtection="0"/>
    <xf numFmtId="0" fontId="7" fillId="10" borderId="0" applyNumberFormat="0" applyBorder="0" applyAlignment="0" applyProtection="0"/>
    <xf numFmtId="0" fontId="62" fillId="76" borderId="0" applyNumberFormat="0" applyBorder="0" applyAlignment="0" applyProtection="0"/>
    <xf numFmtId="0" fontId="63" fillId="76" borderId="0" applyNumberFormat="0" applyBorder="0" applyAlignment="0" applyProtection="0"/>
    <xf numFmtId="0" fontId="7" fillId="11" borderId="0" applyNumberFormat="0" applyBorder="0" applyAlignment="0" applyProtection="0"/>
    <xf numFmtId="0" fontId="62" fillId="77" borderId="0" applyNumberFormat="0" applyBorder="0" applyAlignment="0" applyProtection="0"/>
    <xf numFmtId="0" fontId="63" fillId="77" borderId="0" applyNumberFormat="0" applyBorder="0" applyAlignment="0" applyProtection="0"/>
    <xf numFmtId="0" fontId="7" fillId="12" borderId="0" applyNumberFormat="0" applyBorder="0" applyAlignment="0" applyProtection="0"/>
    <xf numFmtId="0" fontId="62" fillId="78" borderId="0" applyNumberFormat="0" applyBorder="0" applyAlignment="0" applyProtection="0"/>
    <xf numFmtId="0" fontId="63" fillId="78" borderId="0" applyNumberFormat="0" applyBorder="0" applyAlignment="0" applyProtection="0"/>
    <xf numFmtId="0" fontId="7" fillId="3" borderId="0" applyNumberFormat="0" applyBorder="0" applyAlignment="0" applyProtection="0"/>
    <xf numFmtId="0" fontId="62" fillId="79" borderId="0" applyNumberFormat="0" applyBorder="0" applyAlignment="0" applyProtection="0"/>
    <xf numFmtId="0" fontId="63" fillId="79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7" fillId="15" borderId="0" applyNumberFormat="0" applyBorder="0" applyAlignment="0" applyProtection="0"/>
    <xf numFmtId="0" fontId="62" fillId="80" borderId="0" applyNumberFormat="0" applyBorder="0" applyAlignment="0" applyProtection="0"/>
    <xf numFmtId="0" fontId="63" fillId="80" borderId="0" applyNumberFormat="0" applyBorder="0" applyAlignment="0" applyProtection="0"/>
    <xf numFmtId="0" fontId="7" fillId="9" borderId="0" applyNumberFormat="0" applyBorder="0" applyAlignment="0" applyProtection="0"/>
    <xf numFmtId="0" fontId="62" fillId="81" borderId="0" applyNumberFormat="0" applyBorder="0" applyAlignment="0" applyProtection="0"/>
    <xf numFmtId="0" fontId="63" fillId="81" borderId="0" applyNumberFormat="0" applyBorder="0" applyAlignment="0" applyProtection="0"/>
    <xf numFmtId="0" fontId="7" fillId="16" borderId="0" applyNumberFormat="0" applyBorder="0" applyAlignment="0" applyProtection="0"/>
    <xf numFmtId="0" fontId="62" fillId="82" borderId="0" applyNumberFormat="0" applyBorder="0" applyAlignment="0" applyProtection="0"/>
    <xf numFmtId="0" fontId="63" fillId="82" borderId="0" applyNumberFormat="0" applyBorder="0" applyAlignment="0" applyProtection="0"/>
    <xf numFmtId="0" fontId="7" fillId="17" borderId="0" applyNumberFormat="0" applyBorder="0" applyAlignment="0" applyProtection="0"/>
    <xf numFmtId="0" fontId="62" fillId="83" borderId="0" applyNumberFormat="0" applyBorder="0" applyAlignment="0" applyProtection="0"/>
    <xf numFmtId="0" fontId="63" fillId="83" borderId="0" applyNumberFormat="0" applyBorder="0" applyAlignment="0" applyProtection="0"/>
    <xf numFmtId="0" fontId="7" fillId="15" borderId="0" applyNumberFormat="0" applyBorder="0" applyAlignment="0" applyProtection="0"/>
    <xf numFmtId="0" fontId="62" fillId="84" borderId="0" applyNumberFormat="0" applyBorder="0" applyAlignment="0" applyProtection="0"/>
    <xf numFmtId="0" fontId="63" fillId="84" borderId="0" applyNumberFormat="0" applyBorder="0" applyAlignment="0" applyProtection="0"/>
    <xf numFmtId="0" fontId="7" fillId="7" borderId="0" applyNumberFormat="0" applyBorder="0" applyAlignment="0" applyProtection="0"/>
    <xf numFmtId="0" fontId="62" fillId="85" borderId="0" applyNumberFormat="0" applyBorder="0" applyAlignment="0" applyProtection="0"/>
    <xf numFmtId="0" fontId="63" fillId="85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8" fillId="15" borderId="0" applyNumberFormat="0" applyBorder="0" applyAlignment="0" applyProtection="0"/>
    <xf numFmtId="0" fontId="64" fillId="86" borderId="0" applyNumberFormat="0" applyBorder="0" applyAlignment="0" applyProtection="0"/>
    <xf numFmtId="0" fontId="8" fillId="9" borderId="0" applyNumberFormat="0" applyBorder="0" applyAlignment="0" applyProtection="0"/>
    <xf numFmtId="0" fontId="64" fillId="87" borderId="0" applyNumberFormat="0" applyBorder="0" applyAlignment="0" applyProtection="0"/>
    <xf numFmtId="0" fontId="8" fillId="16" borderId="0" applyNumberFormat="0" applyBorder="0" applyAlignment="0" applyProtection="0"/>
    <xf numFmtId="0" fontId="64" fillId="88" borderId="0" applyNumberFormat="0" applyBorder="0" applyAlignment="0" applyProtection="0"/>
    <xf numFmtId="0" fontId="8" fillId="17" borderId="0" applyNumberFormat="0" applyBorder="0" applyAlignment="0" applyProtection="0"/>
    <xf numFmtId="0" fontId="64" fillId="89" borderId="0" applyNumberFormat="0" applyBorder="0" applyAlignment="0" applyProtection="0"/>
    <xf numFmtId="0" fontId="8" fillId="15" borderId="0" applyNumberFormat="0" applyBorder="0" applyAlignment="0" applyProtection="0"/>
    <xf numFmtId="0" fontId="64" fillId="90" borderId="0" applyNumberFormat="0" applyBorder="0" applyAlignment="0" applyProtection="0"/>
    <xf numFmtId="0" fontId="8" fillId="7" borderId="0" applyNumberFormat="0" applyBorder="0" applyAlignment="0" applyProtection="0"/>
    <xf numFmtId="0" fontId="64" fillId="91" borderId="0" applyNumberFormat="0" applyBorder="0" applyAlignment="0" applyProtection="0"/>
    <xf numFmtId="0" fontId="4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4" fillId="1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4" fillId="19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4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4" fillId="22" borderId="0" applyNumberFormat="0" applyBorder="0" applyAlignment="0" applyProtection="0"/>
    <xf numFmtId="0" fontId="4" fillId="29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39" borderId="0" applyNumberFormat="0" applyBorder="0" applyAlignment="0" applyProtection="0"/>
    <xf numFmtId="0" fontId="35" fillId="3" borderId="0" applyNumberFormat="0" applyBorder="0" applyAlignment="0" applyProtection="0"/>
    <xf numFmtId="0" fontId="11" fillId="4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36" fillId="17" borderId="1" applyNumberFormat="0" applyAlignment="0" applyProtection="0"/>
    <xf numFmtId="0" fontId="12" fillId="44" borderId="1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12" fillId="44" borderId="1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13" fillId="34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34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3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9" fillId="17" borderId="1" applyNumberFormat="0" applyAlignment="0" applyProtection="0"/>
    <xf numFmtId="0" fontId="39" fillId="7" borderId="1" applyNumberFormat="0" applyAlignment="0" applyProtection="0"/>
    <xf numFmtId="0" fontId="40" fillId="17" borderId="6" applyNumberFormat="0" applyAlignment="0" applyProtection="0"/>
    <xf numFmtId="0" fontId="40" fillId="17" borderId="6" applyNumberFormat="0" applyAlignment="0" applyProtection="0"/>
    <xf numFmtId="0" fontId="41" fillId="4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2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34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34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194" fontId="6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8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48" fillId="7" borderId="1" applyNumberFormat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38" fillId="47" borderId="3" applyNumberFormat="0" applyAlignment="0" applyProtection="0"/>
    <xf numFmtId="0" fontId="50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166" fontId="3" fillId="0" borderId="0" applyFont="0" applyFill="0" applyBorder="0" applyAlignment="0" applyProtection="0"/>
    <xf numFmtId="195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8" fontId="3" fillId="0" borderId="0" applyFont="0" applyFill="0" applyBorder="0" applyAlignment="0" applyProtection="0"/>
    <xf numFmtId="197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51" fillId="6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2" fillId="0" borderId="0"/>
    <xf numFmtId="0" fontId="6" fillId="0" borderId="0"/>
    <xf numFmtId="0" fontId="6" fillId="0" borderId="0"/>
    <xf numFmtId="0" fontId="65" fillId="0" borderId="0"/>
    <xf numFmtId="0" fontId="9" fillId="0" borderId="0"/>
    <xf numFmtId="0" fontId="6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9" fillId="0" borderId="0"/>
    <xf numFmtId="0" fontId="6" fillId="0" borderId="0"/>
    <xf numFmtId="0" fontId="52" fillId="0" borderId="0" applyNumberFormat="0" applyFill="0" applyBorder="0">
      <alignment vertical="center"/>
    </xf>
    <xf numFmtId="0" fontId="6" fillId="0" borderId="0"/>
    <xf numFmtId="0" fontId="6" fillId="0" borderId="0"/>
    <xf numFmtId="0" fontId="6" fillId="0" borderId="0"/>
    <xf numFmtId="0" fontId="5" fillId="61" borderId="0"/>
    <xf numFmtId="0" fontId="5" fillId="61" borderId="0"/>
    <xf numFmtId="0" fontId="5" fillId="61" borderId="0"/>
    <xf numFmtId="0" fontId="6" fillId="0" borderId="0"/>
    <xf numFmtId="0" fontId="5" fillId="61" borderId="0"/>
    <xf numFmtId="0" fontId="5" fillId="61" borderId="0"/>
    <xf numFmtId="0" fontId="5" fillId="61" borderId="0"/>
    <xf numFmtId="0" fontId="6" fillId="40" borderId="11" applyNumberFormat="0" applyFont="0" applyAlignment="0" applyProtection="0"/>
    <xf numFmtId="0" fontId="9" fillId="92" borderId="26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6" fillId="40" borderId="11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9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36" fillId="17" borderId="1" applyNumberFormat="0" applyAlignment="0" applyProtection="0"/>
    <xf numFmtId="0" fontId="40" fillId="17" borderId="6" applyNumberFormat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0" fillId="44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4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4" fontId="21" fillId="60" borderId="1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21" fillId="60" borderId="1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21" fillId="60" borderId="1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0" fontId="21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21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21" fillId="60" borderId="12" applyNumberFormat="0" applyProtection="0">
      <alignment horizontal="left" vertical="top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64" borderId="1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7" fillId="64" borderId="1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21" fillId="65" borderId="14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21" fillId="65" borderId="14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66" borderId="0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8" borderId="1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6" fillId="8" borderId="1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66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66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32" fillId="15" borderId="17" applyBorder="0"/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4" fontId="7" fillId="66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7" fillId="66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7" fillId="8" borderId="12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8" borderId="1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4" fontId="25" fillId="71" borderId="0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25" fillId="71" borderId="0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0" fontId="5" fillId="72" borderId="15"/>
    <xf numFmtId="0" fontId="5" fillId="72" borderId="15"/>
    <xf numFmtId="0" fontId="5" fillId="72" borderId="15"/>
    <xf numFmtId="0" fontId="5" fillId="72" borderId="15"/>
    <xf numFmtId="0" fontId="5" fillId="72" borderId="15"/>
    <xf numFmtId="4" fontId="26" fillId="66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58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4" fillId="10" borderId="11" applyNumberFormat="0" applyFont="0" applyAlignment="0" applyProtection="0"/>
    <xf numFmtId="0" fontId="2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67" fillId="0" borderId="0"/>
    <xf numFmtId="0" fontId="3" fillId="0" borderId="0"/>
    <xf numFmtId="9" fontId="9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5" fillId="0" borderId="0"/>
    <xf numFmtId="164" fontId="2" fillId="0" borderId="0" applyFont="0" applyFill="0" applyBorder="0" applyAlignment="0" applyProtection="0"/>
    <xf numFmtId="41" fontId="85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474">
    <xf numFmtId="0" fontId="0" fillId="0" borderId="0" xfId="0"/>
    <xf numFmtId="3" fontId="70" fillId="0" borderId="0" xfId="0" applyNumberFormat="1" applyFont="1"/>
    <xf numFmtId="0" fontId="71" fillId="0" borderId="65" xfId="0" applyFont="1" applyBorder="1" applyAlignment="1">
      <alignment vertical="center"/>
    </xf>
    <xf numFmtId="0" fontId="72" fillId="0" borderId="40" xfId="0" applyFont="1" applyBorder="1" applyAlignment="1">
      <alignment vertical="center"/>
    </xf>
    <xf numFmtId="0" fontId="72" fillId="0" borderId="0" xfId="0" applyFont="1" applyAlignment="1">
      <alignment vertical="center"/>
    </xf>
    <xf numFmtId="0" fontId="71" fillId="0" borderId="0" xfId="0" applyFont="1" applyAlignment="1">
      <alignment vertical="center"/>
    </xf>
    <xf numFmtId="0" fontId="71" fillId="0" borderId="37" xfId="0" applyFont="1" applyBorder="1" applyAlignment="1">
      <alignment horizontal="center" vertical="center"/>
    </xf>
    <xf numFmtId="0" fontId="73" fillId="0" borderId="0" xfId="0" applyFont="1"/>
    <xf numFmtId="201" fontId="72" fillId="0" borderId="0" xfId="0" applyNumberFormat="1" applyFont="1" applyAlignment="1">
      <alignment horizontal="right" vertical="center"/>
    </xf>
    <xf numFmtId="202" fontId="72" fillId="0" borderId="0" xfId="0" applyNumberFormat="1" applyFont="1" applyAlignment="1">
      <alignment horizontal="right" vertical="center"/>
    </xf>
    <xf numFmtId="201" fontId="71" fillId="0" borderId="0" xfId="0" applyNumberFormat="1" applyFont="1" applyAlignment="1">
      <alignment horizontal="right" vertical="center"/>
    </xf>
    <xf numFmtId="202" fontId="71" fillId="0" borderId="0" xfId="0" applyNumberFormat="1" applyFont="1" applyAlignment="1">
      <alignment horizontal="right" vertical="center"/>
    </xf>
    <xf numFmtId="0" fontId="74" fillId="0" borderId="0" xfId="0" applyFont="1"/>
    <xf numFmtId="0" fontId="75" fillId="0" borderId="0" xfId="0" applyFont="1" applyAlignment="1">
      <alignment horizontal="left" indent="2"/>
    </xf>
    <xf numFmtId="0" fontId="73" fillId="0" borderId="0" xfId="0" applyFont="1" applyAlignment="1">
      <alignment vertical="center"/>
    </xf>
    <xf numFmtId="0" fontId="72" fillId="0" borderId="0" xfId="0" applyFont="1"/>
    <xf numFmtId="3" fontId="72" fillId="0" borderId="0" xfId="0" applyNumberFormat="1" applyFont="1" applyAlignment="1">
      <alignment horizontal="right"/>
    </xf>
    <xf numFmtId="0" fontId="71" fillId="0" borderId="0" xfId="0" applyFont="1" applyAlignment="1">
      <alignment horizontal="center" vertical="center"/>
    </xf>
    <xf numFmtId="3" fontId="77" fillId="0" borderId="0" xfId="0" applyNumberFormat="1" applyFont="1" applyAlignment="1">
      <alignment horizontal="right" vertical="center"/>
    </xf>
    <xf numFmtId="0" fontId="71" fillId="0" borderId="37" xfId="0" applyFont="1" applyBorder="1" applyAlignment="1">
      <alignment vertical="center"/>
    </xf>
    <xf numFmtId="0" fontId="72" fillId="0" borderId="0" xfId="0" applyFont="1" applyAlignment="1">
      <alignment horizontal="right" vertical="center"/>
    </xf>
    <xf numFmtId="3" fontId="73" fillId="0" borderId="0" xfId="0" applyNumberFormat="1" applyFont="1"/>
    <xf numFmtId="3" fontId="72" fillId="0" borderId="0" xfId="0" applyNumberFormat="1" applyFont="1" applyAlignment="1">
      <alignment horizontal="right" vertical="center"/>
    </xf>
    <xf numFmtId="0" fontId="77" fillId="0" borderId="0" xfId="0" applyFont="1" applyAlignment="1">
      <alignment vertical="center"/>
    </xf>
    <xf numFmtId="201" fontId="73" fillId="0" borderId="0" xfId="0" applyNumberFormat="1" applyFont="1"/>
    <xf numFmtId="3" fontId="80" fillId="0" borderId="0" xfId="0" applyNumberFormat="1" applyFont="1" applyAlignment="1">
      <alignment horizontal="right" vertical="center"/>
    </xf>
    <xf numFmtId="0" fontId="75" fillId="0" borderId="0" xfId="1698" applyFont="1" applyAlignment="1">
      <alignment horizontal="left" indent="2"/>
    </xf>
    <xf numFmtId="0" fontId="73" fillId="0" borderId="0" xfId="1698" applyFont="1"/>
    <xf numFmtId="0" fontId="73" fillId="0" borderId="0" xfId="1698" applyFont="1" applyAlignment="1">
      <alignment vertical="center"/>
    </xf>
    <xf numFmtId="0" fontId="71" fillId="0" borderId="0" xfId="0" applyFont="1" applyAlignment="1">
      <alignment horizontal="center"/>
    </xf>
    <xf numFmtId="0" fontId="71" fillId="0" borderId="37" xfId="0" applyFont="1" applyBorder="1" applyAlignment="1">
      <alignment horizontal="left"/>
    </xf>
    <xf numFmtId="0" fontId="71" fillId="0" borderId="37" xfId="0" applyFont="1" applyBorder="1" applyAlignment="1">
      <alignment horizontal="center"/>
    </xf>
    <xf numFmtId="0" fontId="72" fillId="0" borderId="0" xfId="0" applyFont="1" applyAlignment="1">
      <alignment horizontal="center" vertical="center"/>
    </xf>
    <xf numFmtId="0" fontId="72" fillId="0" borderId="37" xfId="0" applyFont="1" applyBorder="1" applyAlignment="1">
      <alignment horizontal="center" vertical="center"/>
    </xf>
    <xf numFmtId="0" fontId="71" fillId="0" borderId="40" xfId="0" applyFont="1" applyBorder="1" applyAlignment="1">
      <alignment vertical="center"/>
    </xf>
    <xf numFmtId="9" fontId="73" fillId="0" borderId="0" xfId="950" applyFont="1"/>
    <xf numFmtId="9" fontId="74" fillId="0" borderId="0" xfId="950" applyFont="1"/>
    <xf numFmtId="202" fontId="72" fillId="0" borderId="0" xfId="0" applyNumberFormat="1" applyFont="1" applyAlignment="1">
      <alignment horizontal="center" vertical="center"/>
    </xf>
    <xf numFmtId="0" fontId="71" fillId="0" borderId="37" xfId="0" applyFont="1" applyBorder="1"/>
    <xf numFmtId="186" fontId="72" fillId="0" borderId="0" xfId="0" applyNumberFormat="1" applyFont="1"/>
    <xf numFmtId="2" fontId="72" fillId="0" borderId="0" xfId="0" applyNumberFormat="1" applyFont="1" applyAlignment="1">
      <alignment horizontal="right" vertical="center"/>
    </xf>
    <xf numFmtId="2" fontId="72" fillId="0" borderId="0" xfId="0" applyNumberFormat="1" applyFont="1" applyAlignment="1">
      <alignment vertical="center"/>
    </xf>
    <xf numFmtId="0" fontId="72" fillId="0" borderId="0" xfId="0" applyFont="1" applyAlignment="1">
      <alignment vertical="center" wrapText="1"/>
    </xf>
    <xf numFmtId="0" fontId="80" fillId="0" borderId="65" xfId="0" applyFont="1" applyBorder="1" applyAlignment="1">
      <alignment vertical="center"/>
    </xf>
    <xf numFmtId="0" fontId="80" fillId="0" borderId="0" xfId="0" applyFont="1" applyAlignment="1">
      <alignment vertical="center"/>
    </xf>
    <xf numFmtId="0" fontId="77" fillId="0" borderId="0" xfId="0" applyFont="1" applyAlignment="1">
      <alignment horizontal="right" vertical="center"/>
    </xf>
    <xf numFmtId="14" fontId="86" fillId="73" borderId="51" xfId="904" applyNumberFormat="1" applyFont="1" applyFill="1" applyBorder="1" applyAlignment="1">
      <alignment horizontal="center" vertical="center"/>
    </xf>
    <xf numFmtId="14" fontId="86" fillId="73" borderId="52" xfId="904" applyNumberFormat="1" applyFont="1" applyFill="1" applyBorder="1" applyAlignment="1">
      <alignment horizontal="center" vertical="center"/>
    </xf>
    <xf numFmtId="203" fontId="86" fillId="73" borderId="57" xfId="904" applyNumberFormat="1" applyFont="1" applyFill="1" applyBorder="1" applyAlignment="1">
      <alignment horizontal="center" vertical="top"/>
    </xf>
    <xf numFmtId="203" fontId="86" fillId="73" borderId="58" xfId="904" applyNumberFormat="1" applyFont="1" applyFill="1" applyBorder="1" applyAlignment="1">
      <alignment horizontal="center" vertical="top"/>
    </xf>
    <xf numFmtId="203" fontId="86" fillId="0" borderId="56" xfId="904" applyNumberFormat="1" applyFont="1" applyBorder="1" applyAlignment="1">
      <alignment horizontal="left" vertical="center" indent="1"/>
    </xf>
    <xf numFmtId="203" fontId="87" fillId="0" borderId="1" xfId="904" quotePrefix="1" applyNumberFormat="1" applyFont="1" applyBorder="1" applyAlignment="1">
      <alignment horizontal="center" vertical="center"/>
    </xf>
    <xf numFmtId="203" fontId="87" fillId="0" borderId="1" xfId="904" applyNumberFormat="1" applyFont="1" applyBorder="1" applyAlignment="1">
      <alignment vertical="center"/>
    </xf>
    <xf numFmtId="203" fontId="87" fillId="0" borderId="47" xfId="904" applyNumberFormat="1" applyFont="1" applyBorder="1" applyAlignment="1">
      <alignment vertical="center"/>
    </xf>
    <xf numFmtId="203" fontId="87" fillId="0" borderId="56" xfId="904" applyNumberFormat="1" applyFont="1" applyBorder="1" applyAlignment="1">
      <alignment horizontal="left" vertical="center" indent="3"/>
    </xf>
    <xf numFmtId="203" fontId="87" fillId="0" borderId="1" xfId="904" applyNumberFormat="1" applyFont="1" applyBorder="1" applyAlignment="1">
      <alignment horizontal="center" vertical="center"/>
    </xf>
    <xf numFmtId="203" fontId="86" fillId="73" borderId="56" xfId="904" applyNumberFormat="1" applyFont="1" applyFill="1" applyBorder="1" applyAlignment="1">
      <alignment horizontal="left" vertical="center" wrapText="1"/>
    </xf>
    <xf numFmtId="203" fontId="86" fillId="73" borderId="1" xfId="904" applyNumberFormat="1" applyFont="1" applyFill="1" applyBorder="1" applyAlignment="1">
      <alignment horizontal="center" vertical="center"/>
    </xf>
    <xf numFmtId="203" fontId="86" fillId="96" borderId="56" xfId="904" applyNumberFormat="1" applyFont="1" applyFill="1" applyBorder="1" applyAlignment="1">
      <alignment horizontal="left" vertical="center"/>
    </xf>
    <xf numFmtId="203" fontId="86" fillId="0" borderId="1" xfId="904" applyNumberFormat="1" applyFont="1" applyBorder="1" applyAlignment="1">
      <alignment horizontal="center" vertical="center"/>
    </xf>
    <xf numFmtId="203" fontId="86" fillId="73" borderId="56" xfId="904" applyNumberFormat="1" applyFont="1" applyFill="1" applyBorder="1" applyAlignment="1">
      <alignment horizontal="left" vertical="center" indent="2"/>
    </xf>
    <xf numFmtId="203" fontId="86" fillId="73" borderId="59" xfId="904" applyNumberFormat="1" applyFont="1" applyFill="1" applyBorder="1" applyAlignment="1">
      <alignment horizontal="left" vertical="center" indent="2"/>
    </xf>
    <xf numFmtId="203" fontId="86" fillId="73" borderId="48" xfId="904" applyNumberFormat="1" applyFont="1" applyFill="1" applyBorder="1" applyAlignment="1">
      <alignment horizontal="center" vertical="center"/>
    </xf>
    <xf numFmtId="203" fontId="86" fillId="0" borderId="1" xfId="904" applyNumberFormat="1" applyFont="1" applyBorder="1" applyAlignment="1">
      <alignment horizontal="left" vertical="center" indent="2"/>
    </xf>
    <xf numFmtId="203" fontId="86" fillId="73" borderId="56" xfId="904" applyNumberFormat="1" applyFont="1" applyFill="1" applyBorder="1" applyAlignment="1">
      <alignment horizontal="left" vertical="center" wrapText="1" indent="2"/>
    </xf>
    <xf numFmtId="203" fontId="86" fillId="73" borderId="1" xfId="904" applyNumberFormat="1" applyFont="1" applyFill="1" applyBorder="1" applyAlignment="1">
      <alignment horizontal="left" vertical="center" indent="3"/>
    </xf>
    <xf numFmtId="203" fontId="86" fillId="73" borderId="56" xfId="904" applyNumberFormat="1" applyFont="1" applyFill="1" applyBorder="1" applyAlignment="1">
      <alignment horizontal="left" vertical="center" indent="1"/>
    </xf>
    <xf numFmtId="203" fontId="86" fillId="0" borderId="60" xfId="904" applyNumberFormat="1" applyFont="1" applyBorder="1" applyAlignment="1">
      <alignment vertical="center"/>
    </xf>
    <xf numFmtId="203" fontId="78" fillId="0" borderId="56" xfId="904" applyNumberFormat="1" applyFont="1" applyBorder="1" applyAlignment="1">
      <alignment horizontal="left" vertical="center" indent="3"/>
    </xf>
    <xf numFmtId="203" fontId="86" fillId="0" borderId="56" xfId="904" applyNumberFormat="1" applyFont="1" applyBorder="1" applyAlignment="1">
      <alignment horizontal="left" vertical="center" wrapText="1" indent="3"/>
    </xf>
    <xf numFmtId="203" fontId="87" fillId="0" borderId="56" xfId="904" applyNumberFormat="1" applyFont="1" applyBorder="1" applyAlignment="1">
      <alignment horizontal="left" vertical="center"/>
    </xf>
    <xf numFmtId="203" fontId="87" fillId="73" borderId="1" xfId="904" applyNumberFormat="1" applyFont="1" applyFill="1" applyBorder="1" applyAlignment="1">
      <alignment horizontal="center" vertical="center"/>
    </xf>
    <xf numFmtId="203" fontId="86" fillId="73" borderId="59" xfId="904" applyNumberFormat="1" applyFont="1" applyFill="1" applyBorder="1" applyAlignment="1">
      <alignment horizontal="left" vertical="center" indent="1"/>
    </xf>
    <xf numFmtId="203" fontId="86" fillId="73" borderId="48" xfId="904" applyNumberFormat="1" applyFont="1" applyFill="1" applyBorder="1" applyAlignment="1">
      <alignment horizontal="left" vertical="center" indent="3"/>
    </xf>
    <xf numFmtId="203" fontId="87" fillId="0" borderId="56" xfId="904" applyNumberFormat="1" applyFont="1" applyBorder="1" applyAlignment="1">
      <alignment vertical="center"/>
    </xf>
    <xf numFmtId="49" fontId="87" fillId="0" borderId="1" xfId="904" applyNumberFormat="1" applyFont="1" applyBorder="1" applyAlignment="1">
      <alignment horizontal="center" vertical="center"/>
    </xf>
    <xf numFmtId="0" fontId="87" fillId="0" borderId="56" xfId="904" applyFont="1" applyBorder="1" applyAlignment="1">
      <alignment vertical="center"/>
    </xf>
    <xf numFmtId="3" fontId="87" fillId="0" borderId="1" xfId="904" applyNumberFormat="1" applyFont="1" applyBorder="1" applyAlignment="1">
      <alignment vertical="center"/>
    </xf>
    <xf numFmtId="0" fontId="86" fillId="73" borderId="56" xfId="904" applyFont="1" applyFill="1" applyBorder="1" applyAlignment="1">
      <alignment vertical="center"/>
    </xf>
    <xf numFmtId="0" fontId="86" fillId="73" borderId="1" xfId="904" applyFont="1" applyFill="1" applyBorder="1" applyAlignment="1">
      <alignment horizontal="center" vertical="center"/>
    </xf>
    <xf numFmtId="3" fontId="86" fillId="73" borderId="1" xfId="904" applyNumberFormat="1" applyFont="1" applyFill="1" applyBorder="1" applyAlignment="1">
      <alignment vertical="center"/>
    </xf>
    <xf numFmtId="0" fontId="86" fillId="73" borderId="1" xfId="904" applyFont="1" applyFill="1" applyBorder="1" applyAlignment="1">
      <alignment horizontal="left" vertical="center" indent="3"/>
    </xf>
    <xf numFmtId="0" fontId="87" fillId="0" borderId="1" xfId="904" applyFont="1" applyBorder="1" applyAlignment="1">
      <alignment horizontal="center" vertical="center"/>
    </xf>
    <xf numFmtId="0" fontId="86" fillId="0" borderId="56" xfId="904" applyFont="1" applyBorder="1" applyAlignment="1">
      <alignment vertical="center" wrapText="1"/>
    </xf>
    <xf numFmtId="0" fontId="87" fillId="0" borderId="1" xfId="904" applyFont="1" applyBorder="1" applyAlignment="1">
      <alignment horizontal="left" vertical="center" indent="3"/>
    </xf>
    <xf numFmtId="3" fontId="87" fillId="0" borderId="1" xfId="904" applyNumberFormat="1" applyFont="1" applyBorder="1" applyAlignment="1">
      <alignment horizontal="center" vertical="center"/>
    </xf>
    <xf numFmtId="0" fontId="86" fillId="73" borderId="56" xfId="904" applyFont="1" applyFill="1" applyBorder="1" applyAlignment="1">
      <alignment vertical="center" wrapText="1"/>
    </xf>
    <xf numFmtId="3" fontId="86" fillId="98" borderId="1" xfId="904" applyNumberFormat="1" applyFont="1" applyFill="1" applyBorder="1" applyAlignment="1">
      <alignment vertical="center"/>
    </xf>
    <xf numFmtId="0" fontId="86" fillId="98" borderId="56" xfId="904" applyFont="1" applyFill="1" applyBorder="1" applyAlignment="1">
      <alignment vertical="center"/>
    </xf>
    <xf numFmtId="0" fontId="86" fillId="98" borderId="1" xfId="904" applyFont="1" applyFill="1" applyBorder="1" applyAlignment="1">
      <alignment horizontal="left" vertical="center" indent="3"/>
    </xf>
    <xf numFmtId="0" fontId="86" fillId="0" borderId="56" xfId="904" applyFont="1" applyBorder="1" applyAlignment="1">
      <alignment vertical="center"/>
    </xf>
    <xf numFmtId="3" fontId="87" fillId="0" borderId="0" xfId="904" applyNumberFormat="1" applyFont="1"/>
    <xf numFmtId="0" fontId="87" fillId="0" borderId="0" xfId="904" applyFont="1"/>
    <xf numFmtId="0" fontId="86" fillId="73" borderId="59" xfId="904" applyFont="1" applyFill="1" applyBorder="1" applyAlignment="1">
      <alignment vertical="center"/>
    </xf>
    <xf numFmtId="0" fontId="87" fillId="73" borderId="48" xfId="904" applyFont="1" applyFill="1" applyBorder="1" applyAlignment="1">
      <alignment horizontal="center" vertical="center"/>
    </xf>
    <xf numFmtId="199" fontId="86" fillId="73" borderId="48" xfId="904" applyNumberFormat="1" applyFont="1" applyFill="1" applyBorder="1" applyAlignment="1">
      <alignment vertical="center"/>
    </xf>
    <xf numFmtId="203" fontId="87" fillId="0" borderId="42" xfId="0" applyNumberFormat="1" applyFont="1" applyBorder="1" applyAlignment="1">
      <alignment horizontal="left" vertical="center" wrapText="1"/>
    </xf>
    <xf numFmtId="203" fontId="87" fillId="0" borderId="43" xfId="0" applyNumberFormat="1" applyFont="1" applyBorder="1" applyAlignment="1">
      <alignment horizontal="center" vertical="center" wrapText="1"/>
    </xf>
    <xf numFmtId="203" fontId="86" fillId="0" borderId="42" xfId="0" applyNumberFormat="1" applyFont="1" applyBorder="1" applyAlignment="1">
      <alignment horizontal="left" vertical="center" wrapText="1"/>
    </xf>
    <xf numFmtId="203" fontId="86" fillId="0" borderId="43" xfId="0" applyNumberFormat="1" applyFont="1" applyBorder="1" applyAlignment="1">
      <alignment horizontal="center" vertical="center" wrapText="1"/>
    </xf>
    <xf numFmtId="0" fontId="87" fillId="0" borderId="0" xfId="903" applyFont="1"/>
    <xf numFmtId="0" fontId="87" fillId="0" borderId="0" xfId="0" applyFont="1"/>
    <xf numFmtId="0" fontId="86" fillId="97" borderId="41" xfId="0" applyFont="1" applyFill="1" applyBorder="1" applyAlignment="1">
      <alignment horizontal="center" vertical="center"/>
    </xf>
    <xf numFmtId="0" fontId="86" fillId="97" borderId="46" xfId="0" applyFont="1" applyFill="1" applyBorder="1" applyAlignment="1">
      <alignment horizontal="center" vertical="center"/>
    </xf>
    <xf numFmtId="0" fontId="87" fillId="0" borderId="43" xfId="0" applyFont="1" applyBorder="1" applyAlignment="1">
      <alignment horizontal="center" vertical="center" wrapText="1"/>
    </xf>
    <xf numFmtId="3" fontId="87" fillId="0" borderId="0" xfId="0" applyNumberFormat="1" applyFont="1" applyAlignment="1">
      <alignment wrapText="1"/>
    </xf>
    <xf numFmtId="0" fontId="87" fillId="0" borderId="0" xfId="0" applyFont="1" applyAlignment="1">
      <alignment wrapText="1"/>
    </xf>
    <xf numFmtId="0" fontId="87" fillId="0" borderId="42" xfId="0" applyFont="1" applyBorder="1" applyAlignment="1">
      <alignment horizontal="left" vertical="center" wrapText="1"/>
    </xf>
    <xf numFmtId="0" fontId="86" fillId="96" borderId="42" xfId="0" applyFont="1" applyFill="1" applyBorder="1" applyAlignment="1">
      <alignment horizontal="left" vertical="center" wrapText="1"/>
    </xf>
    <xf numFmtId="0" fontId="87" fillId="96" borderId="43" xfId="0" applyFont="1" applyFill="1" applyBorder="1" applyAlignment="1">
      <alignment horizontal="center" vertical="center" wrapText="1"/>
    </xf>
    <xf numFmtId="0" fontId="86" fillId="96" borderId="43" xfId="0" applyFont="1" applyFill="1" applyBorder="1" applyAlignment="1">
      <alignment horizontal="center" vertical="center" wrapText="1"/>
    </xf>
    <xf numFmtId="0" fontId="86" fillId="96" borderId="42" xfId="0" applyFont="1" applyFill="1" applyBorder="1" applyAlignment="1">
      <alignment vertical="center" wrapText="1"/>
    </xf>
    <xf numFmtId="0" fontId="87" fillId="96" borderId="42" xfId="0" applyFont="1" applyFill="1" applyBorder="1" applyAlignment="1">
      <alignment horizontal="left" vertical="center" wrapText="1"/>
    </xf>
    <xf numFmtId="3" fontId="69" fillId="0" borderId="0" xfId="0" applyNumberFormat="1" applyFont="1" applyAlignment="1">
      <alignment wrapText="1"/>
    </xf>
    <xf numFmtId="0" fontId="86" fillId="96" borderId="53" xfId="0" applyFont="1" applyFill="1" applyBorder="1" applyAlignment="1">
      <alignment horizontal="left" vertical="center" wrapText="1"/>
    </xf>
    <xf numFmtId="0" fontId="86" fillId="96" borderId="50" xfId="0" applyFont="1" applyFill="1" applyBorder="1" applyAlignment="1">
      <alignment horizontal="center" vertical="center" wrapText="1"/>
    </xf>
    <xf numFmtId="0" fontId="87" fillId="0" borderId="0" xfId="903" applyFont="1" applyAlignment="1">
      <alignment horizontal="center"/>
    </xf>
    <xf numFmtId="0" fontId="86" fillId="0" borderId="0" xfId="904" applyFont="1"/>
    <xf numFmtId="3" fontId="87" fillId="0" borderId="0" xfId="903" applyNumberFormat="1" applyFont="1"/>
    <xf numFmtId="191" fontId="86" fillId="0" borderId="0" xfId="904" applyNumberFormat="1" applyFont="1" applyAlignment="1">
      <alignment horizontal="center" vertical="center"/>
    </xf>
    <xf numFmtId="192" fontId="86" fillId="0" borderId="0" xfId="904" applyNumberFormat="1" applyFont="1" applyAlignment="1">
      <alignment horizontal="center" vertical="top"/>
    </xf>
    <xf numFmtId="0" fontId="87" fillId="0" borderId="0" xfId="904" applyFont="1" applyAlignment="1">
      <alignment vertical="center"/>
    </xf>
    <xf numFmtId="3" fontId="87" fillId="0" borderId="0" xfId="904" applyNumberFormat="1" applyFont="1" applyAlignment="1">
      <alignment vertical="center"/>
    </xf>
    <xf numFmtId="3" fontId="86" fillId="0" borderId="0" xfId="904" applyNumberFormat="1" applyFont="1" applyAlignment="1">
      <alignment vertical="center"/>
    </xf>
    <xf numFmtId="0" fontId="90" fillId="0" borderId="0" xfId="904" applyFont="1"/>
    <xf numFmtId="3" fontId="86" fillId="0" borderId="0" xfId="904" applyNumberFormat="1" applyFont="1" applyAlignment="1">
      <alignment horizontal="right" vertical="center"/>
    </xf>
    <xf numFmtId="0" fontId="87" fillId="0" borderId="0" xfId="0" applyFont="1" applyAlignment="1">
      <alignment horizontal="left" vertical="center" indent="1"/>
    </xf>
    <xf numFmtId="0" fontId="87" fillId="0" borderId="0" xfId="0" applyFont="1" applyAlignment="1">
      <alignment horizontal="left" vertical="center" indent="2"/>
    </xf>
    <xf numFmtId="3" fontId="87" fillId="0" borderId="0" xfId="0" applyNumberFormat="1" applyFont="1" applyAlignment="1">
      <alignment vertical="center"/>
    </xf>
    <xf numFmtId="0" fontId="91" fillId="0" borderId="0" xfId="0" applyFont="1"/>
    <xf numFmtId="0" fontId="92" fillId="0" borderId="0" xfId="0" applyFont="1"/>
    <xf numFmtId="0" fontId="93" fillId="0" borderId="0" xfId="0" applyFont="1"/>
    <xf numFmtId="184" fontId="92" fillId="0" borderId="0" xfId="0" applyNumberFormat="1" applyFont="1"/>
    <xf numFmtId="178" fontId="92" fillId="0" borderId="0" xfId="0" applyNumberFormat="1" applyFont="1"/>
    <xf numFmtId="170" fontId="92" fillId="0" borderId="0" xfId="0" applyNumberFormat="1" applyFont="1"/>
    <xf numFmtId="169" fontId="92" fillId="0" borderId="0" xfId="836" quotePrefix="1" applyNumberFormat="1" applyFont="1" applyBorder="1" applyAlignment="1">
      <alignment horizontal="center"/>
    </xf>
    <xf numFmtId="0" fontId="94" fillId="93" borderId="27" xfId="0" applyFont="1" applyFill="1" applyBorder="1"/>
    <xf numFmtId="0" fontId="95" fillId="93" borderId="28" xfId="0" applyFont="1" applyFill="1" applyBorder="1"/>
    <xf numFmtId="49" fontId="94" fillId="93" borderId="28" xfId="836" applyNumberFormat="1" applyFont="1" applyFill="1" applyBorder="1" applyAlignment="1">
      <alignment horizontal="center"/>
    </xf>
    <xf numFmtId="169" fontId="91" fillId="0" borderId="0" xfId="836" quotePrefix="1" applyNumberFormat="1" applyFont="1" applyFill="1" applyAlignment="1">
      <alignment horizontal="center"/>
    </xf>
    <xf numFmtId="169" fontId="91" fillId="0" borderId="0" xfId="836" quotePrefix="1" applyNumberFormat="1" applyFont="1" applyFill="1" applyBorder="1" applyAlignment="1">
      <alignment horizontal="center"/>
    </xf>
    <xf numFmtId="0" fontId="92" fillId="0" borderId="0" xfId="0" applyFont="1" applyAlignment="1">
      <alignment horizontal="center"/>
    </xf>
    <xf numFmtId="14" fontId="92" fillId="0" borderId="0" xfId="0" applyNumberFormat="1" applyFont="1" applyAlignment="1">
      <alignment horizontal="center"/>
    </xf>
    <xf numFmtId="0" fontId="91" fillId="0" borderId="30" xfId="0" applyFont="1" applyBorder="1"/>
    <xf numFmtId="0" fontId="92" fillId="0" borderId="31" xfId="0" applyFont="1" applyBorder="1"/>
    <xf numFmtId="0" fontId="92" fillId="0" borderId="63" xfId="0" applyFont="1" applyBorder="1"/>
    <xf numFmtId="0" fontId="92" fillId="0" borderId="32" xfId="0" applyFont="1" applyBorder="1"/>
    <xf numFmtId="0" fontId="91" fillId="0" borderId="24" xfId="0" applyFont="1" applyBorder="1"/>
    <xf numFmtId="183" fontId="93" fillId="0" borderId="0" xfId="0" applyNumberFormat="1" applyFont="1"/>
    <xf numFmtId="0" fontId="92" fillId="0" borderId="30" xfId="0" applyFont="1" applyBorder="1"/>
    <xf numFmtId="0" fontId="92" fillId="0" borderId="31" xfId="0" applyFont="1" applyBorder="1" applyAlignment="1">
      <alignment horizontal="center"/>
    </xf>
    <xf numFmtId="169" fontId="92" fillId="0" borderId="31" xfId="836" applyNumberFormat="1" applyFont="1" applyBorder="1"/>
    <xf numFmtId="169" fontId="92" fillId="0" borderId="63" xfId="836" applyNumberFormat="1" applyFont="1" applyBorder="1"/>
    <xf numFmtId="169" fontId="92" fillId="0" borderId="32" xfId="836" applyNumberFormat="1" applyFont="1" applyBorder="1"/>
    <xf numFmtId="179" fontId="92" fillId="0" borderId="0" xfId="836" applyNumberFormat="1" applyFont="1"/>
    <xf numFmtId="0" fontId="92" fillId="0" borderId="25" xfId="0" applyFont="1" applyBorder="1"/>
    <xf numFmtId="170" fontId="92" fillId="0" borderId="25" xfId="0" applyNumberFormat="1" applyFont="1" applyBorder="1"/>
    <xf numFmtId="2" fontId="96" fillId="0" borderId="0" xfId="0" applyNumberFormat="1" applyFont="1"/>
    <xf numFmtId="2" fontId="91" fillId="0" borderId="0" xfId="0" applyNumberFormat="1" applyFont="1"/>
    <xf numFmtId="188" fontId="92" fillId="0" borderId="0" xfId="950" applyNumberFormat="1" applyFont="1"/>
    <xf numFmtId="188" fontId="93" fillId="0" borderId="0" xfId="950" applyNumberFormat="1" applyFont="1" applyFill="1" applyBorder="1"/>
    <xf numFmtId="0" fontId="94" fillId="93" borderId="30" xfId="0" applyFont="1" applyFill="1" applyBorder="1"/>
    <xf numFmtId="0" fontId="95" fillId="93" borderId="31" xfId="0" applyFont="1" applyFill="1" applyBorder="1"/>
    <xf numFmtId="169" fontId="94" fillId="93" borderId="31" xfId="836" applyNumberFormat="1" applyFont="1" applyFill="1" applyBorder="1"/>
    <xf numFmtId="169" fontId="94" fillId="93" borderId="63" xfId="836" applyNumberFormat="1" applyFont="1" applyFill="1" applyBorder="1"/>
    <xf numFmtId="169" fontId="94" fillId="93" borderId="32" xfId="836" applyNumberFormat="1" applyFont="1" applyFill="1" applyBorder="1"/>
    <xf numFmtId="169" fontId="92" fillId="0" borderId="0" xfId="836" applyNumberFormat="1" applyFont="1"/>
    <xf numFmtId="169" fontId="91" fillId="0" borderId="0" xfId="836" applyNumberFormat="1" applyFont="1"/>
    <xf numFmtId="2" fontId="92" fillId="0" borderId="0" xfId="0" applyNumberFormat="1" applyFont="1"/>
    <xf numFmtId="0" fontId="94" fillId="93" borderId="33" xfId="0" applyFont="1" applyFill="1" applyBorder="1"/>
    <xf numFmtId="0" fontId="95" fillId="93" borderId="34" xfId="0" applyFont="1" applyFill="1" applyBorder="1"/>
    <xf numFmtId="169" fontId="94" fillId="93" borderId="34" xfId="836" applyNumberFormat="1" applyFont="1" applyFill="1" applyBorder="1"/>
    <xf numFmtId="169" fontId="94" fillId="93" borderId="64" xfId="836" applyNumberFormat="1" applyFont="1" applyFill="1" applyBorder="1"/>
    <xf numFmtId="169" fontId="94" fillId="93" borderId="35" xfId="836" applyNumberFormat="1" applyFont="1" applyFill="1" applyBorder="1"/>
    <xf numFmtId="2" fontId="96" fillId="0" borderId="0" xfId="950" applyNumberFormat="1" applyFont="1" applyFill="1"/>
    <xf numFmtId="10" fontId="91" fillId="0" borderId="0" xfId="0" applyNumberFormat="1" applyFont="1"/>
    <xf numFmtId="0" fontId="92" fillId="0" borderId="36" xfId="0" applyFont="1" applyBorder="1"/>
    <xf numFmtId="200" fontId="70" fillId="0" borderId="0" xfId="836" applyNumberFormat="1" applyFont="1" applyBorder="1"/>
    <xf numFmtId="49" fontId="94" fillId="93" borderId="28" xfId="836" quotePrefix="1" applyNumberFormat="1" applyFont="1" applyFill="1" applyBorder="1" applyAlignment="1">
      <alignment horizontal="center"/>
    </xf>
    <xf numFmtId="0" fontId="91" fillId="0" borderId="31" xfId="0" applyFont="1" applyBorder="1" applyAlignment="1">
      <alignment horizontal="center"/>
    </xf>
    <xf numFmtId="186" fontId="92" fillId="0" borderId="31" xfId="836" applyNumberFormat="1" applyFont="1" applyFill="1" applyBorder="1"/>
    <xf numFmtId="186" fontId="92" fillId="0" borderId="32" xfId="836" applyNumberFormat="1" applyFont="1" applyFill="1" applyBorder="1"/>
    <xf numFmtId="0" fontId="97" fillId="0" borderId="0" xfId="0" applyFont="1"/>
    <xf numFmtId="169" fontId="93" fillId="0" borderId="0" xfId="0" applyNumberFormat="1" applyFont="1"/>
    <xf numFmtId="186" fontId="91" fillId="0" borderId="31" xfId="836" applyNumberFormat="1" applyFont="1" applyFill="1" applyBorder="1"/>
    <xf numFmtId="186" fontId="91" fillId="0" borderId="32" xfId="836" applyNumberFormat="1" applyFont="1" applyFill="1" applyBorder="1"/>
    <xf numFmtId="176" fontId="93" fillId="0" borderId="0" xfId="836" applyNumberFormat="1" applyFont="1" applyFill="1" applyBorder="1"/>
    <xf numFmtId="171" fontId="91" fillId="0" borderId="0" xfId="0" applyNumberFormat="1" applyFont="1"/>
    <xf numFmtId="173" fontId="92" fillId="0" borderId="0" xfId="0" applyNumberFormat="1" applyFont="1"/>
    <xf numFmtId="188" fontId="92" fillId="0" borderId="0" xfId="950" applyNumberFormat="1" applyFont="1" applyFill="1" applyBorder="1"/>
    <xf numFmtId="0" fontId="92" fillId="0" borderId="33" xfId="0" applyFont="1" applyBorder="1"/>
    <xf numFmtId="0" fontId="92" fillId="0" borderId="34" xfId="0" applyFont="1" applyBorder="1" applyAlignment="1">
      <alignment horizontal="center"/>
    </xf>
    <xf numFmtId="186" fontId="92" fillId="0" borderId="34" xfId="836" applyNumberFormat="1" applyFont="1" applyFill="1" applyBorder="1"/>
    <xf numFmtId="186" fontId="92" fillId="0" borderId="44" xfId="836" applyNumberFormat="1" applyFont="1" applyFill="1" applyBorder="1"/>
    <xf numFmtId="0" fontId="98" fillId="0" borderId="24" xfId="0" applyFont="1" applyBorder="1"/>
    <xf numFmtId="0" fontId="99" fillId="0" borderId="0" xfId="0" applyFont="1"/>
    <xf numFmtId="170" fontId="99" fillId="0" borderId="0" xfId="0" applyNumberFormat="1" applyFont="1"/>
    <xf numFmtId="169" fontId="99" fillId="0" borderId="0" xfId="836" applyNumberFormat="1" applyFont="1"/>
    <xf numFmtId="186" fontId="92" fillId="0" borderId="0" xfId="836" applyNumberFormat="1" applyFont="1" applyBorder="1"/>
    <xf numFmtId="188" fontId="92" fillId="0" borderId="0" xfId="950" applyNumberFormat="1" applyFont="1" applyBorder="1"/>
    <xf numFmtId="189" fontId="99" fillId="0" borderId="0" xfId="0" applyNumberFormat="1" applyFont="1"/>
    <xf numFmtId="176" fontId="92" fillId="0" borderId="0" xfId="836" applyNumberFormat="1" applyFont="1"/>
    <xf numFmtId="186" fontId="92" fillId="0" borderId="31" xfId="836" applyNumberFormat="1" applyFont="1" applyBorder="1"/>
    <xf numFmtId="186" fontId="92" fillId="0" borderId="32" xfId="836" applyNumberFormat="1" applyFont="1" applyBorder="1"/>
    <xf numFmtId="182" fontId="92" fillId="0" borderId="0" xfId="0" applyNumberFormat="1" applyFont="1"/>
    <xf numFmtId="187" fontId="92" fillId="0" borderId="0" xfId="950" applyNumberFormat="1" applyFont="1"/>
    <xf numFmtId="174" fontId="91" fillId="0" borderId="0" xfId="0" applyNumberFormat="1" applyFont="1"/>
    <xf numFmtId="186" fontId="91" fillId="0" borderId="31" xfId="836" applyNumberFormat="1" applyFont="1" applyBorder="1"/>
    <xf numFmtId="186" fontId="91" fillId="0" borderId="32" xfId="836" applyNumberFormat="1" applyFont="1" applyBorder="1"/>
    <xf numFmtId="0" fontId="98" fillId="0" borderId="0" xfId="0" applyFont="1"/>
    <xf numFmtId="170" fontId="98" fillId="0" borderId="0" xfId="0" applyNumberFormat="1" applyFont="1"/>
    <xf numFmtId="2" fontId="99" fillId="0" borderId="0" xfId="0" applyNumberFormat="1" applyFont="1"/>
    <xf numFmtId="10" fontId="99" fillId="0" borderId="0" xfId="950" applyNumberFormat="1" applyFont="1"/>
    <xf numFmtId="0" fontId="95" fillId="93" borderId="34" xfId="0" applyFont="1" applyFill="1" applyBorder="1" applyAlignment="1">
      <alignment horizontal="center"/>
    </xf>
    <xf numFmtId="186" fontId="94" fillId="93" borderId="34" xfId="836" applyNumberFormat="1" applyFont="1" applyFill="1" applyBorder="1"/>
    <xf numFmtId="186" fontId="94" fillId="93" borderId="35" xfId="836" applyNumberFormat="1" applyFont="1" applyFill="1" applyBorder="1"/>
    <xf numFmtId="173" fontId="91" fillId="0" borderId="0" xfId="0" applyNumberFormat="1" applyFont="1"/>
    <xf numFmtId="2" fontId="99" fillId="0" borderId="0" xfId="950" applyNumberFormat="1" applyFont="1" applyFill="1"/>
    <xf numFmtId="10" fontId="99" fillId="0" borderId="0" xfId="950" applyNumberFormat="1" applyFont="1" applyFill="1" applyBorder="1"/>
    <xf numFmtId="0" fontId="92" fillId="94" borderId="27" xfId="0" applyFont="1" applyFill="1" applyBorder="1"/>
    <xf numFmtId="169" fontId="92" fillId="94" borderId="29" xfId="836" applyNumberFormat="1" applyFont="1" applyFill="1" applyBorder="1"/>
    <xf numFmtId="0" fontId="92" fillId="94" borderId="30" xfId="0" applyFont="1" applyFill="1" applyBorder="1"/>
    <xf numFmtId="49" fontId="92" fillId="94" borderId="31" xfId="836" applyNumberFormat="1" applyFont="1" applyFill="1" applyBorder="1" applyAlignment="1">
      <alignment horizontal="left"/>
    </xf>
    <xf numFmtId="169" fontId="92" fillId="94" borderId="32" xfId="836" applyNumberFormat="1" applyFont="1" applyFill="1" applyBorder="1"/>
    <xf numFmtId="170" fontId="91" fillId="0" borderId="0" xfId="0" applyNumberFormat="1" applyFont="1"/>
    <xf numFmtId="186" fontId="92" fillId="94" borderId="32" xfId="836" applyNumberFormat="1" applyFont="1" applyFill="1" applyBorder="1"/>
    <xf numFmtId="10" fontId="92" fillId="0" borderId="0" xfId="950" applyNumberFormat="1" applyFont="1" applyFill="1"/>
    <xf numFmtId="0" fontId="92" fillId="94" borderId="33" xfId="0" applyFont="1" applyFill="1" applyBorder="1"/>
    <xf numFmtId="49" fontId="92" fillId="94" borderId="34" xfId="836" applyNumberFormat="1" applyFont="1" applyFill="1" applyBorder="1" applyAlignment="1">
      <alignment horizontal="left"/>
    </xf>
    <xf numFmtId="186" fontId="92" fillId="94" borderId="35" xfId="836" applyNumberFormat="1" applyFont="1" applyFill="1" applyBorder="1"/>
    <xf numFmtId="10" fontId="92" fillId="0" borderId="0" xfId="950" applyNumberFormat="1" applyFont="1"/>
    <xf numFmtId="10" fontId="93" fillId="0" borderId="0" xfId="0" applyNumberFormat="1" applyFont="1"/>
    <xf numFmtId="169" fontId="92" fillId="0" borderId="0" xfId="0" applyNumberFormat="1" applyFont="1"/>
    <xf numFmtId="170" fontId="93" fillId="0" borderId="0" xfId="0" applyNumberFormat="1" applyFont="1"/>
    <xf numFmtId="183" fontId="91" fillId="0" borderId="0" xfId="0" applyNumberFormat="1" applyFont="1"/>
    <xf numFmtId="170" fontId="92" fillId="95" borderId="0" xfId="0" applyNumberFormat="1" applyFont="1" applyFill="1"/>
    <xf numFmtId="169" fontId="92" fillId="0" borderId="0" xfId="828" applyNumberFormat="1" applyFont="1"/>
    <xf numFmtId="176" fontId="92" fillId="0" borderId="0" xfId="836" applyNumberFormat="1" applyFont="1" applyFill="1"/>
    <xf numFmtId="172" fontId="92" fillId="0" borderId="25" xfId="0" applyNumberFormat="1" applyFont="1" applyBorder="1"/>
    <xf numFmtId="177" fontId="92" fillId="0" borderId="25" xfId="836" applyNumberFormat="1" applyFont="1" applyBorder="1"/>
    <xf numFmtId="190" fontId="92" fillId="0" borderId="0" xfId="0" applyNumberFormat="1" applyFont="1"/>
    <xf numFmtId="4" fontId="92" fillId="95" borderId="0" xfId="0" applyNumberFormat="1" applyFont="1" applyFill="1"/>
    <xf numFmtId="172" fontId="92" fillId="0" borderId="0" xfId="0" applyNumberFormat="1" applyFont="1"/>
    <xf numFmtId="185" fontId="92" fillId="0" borderId="0" xfId="0" applyNumberFormat="1" applyFont="1"/>
    <xf numFmtId="10" fontId="100" fillId="0" borderId="0" xfId="0" applyNumberFormat="1" applyFont="1"/>
    <xf numFmtId="0" fontId="101" fillId="0" borderId="0" xfId="0" applyFont="1"/>
    <xf numFmtId="0" fontId="102" fillId="0" borderId="0" xfId="0" applyFont="1"/>
    <xf numFmtId="170" fontId="102" fillId="0" borderId="0" xfId="0" applyNumberFormat="1" applyFont="1"/>
    <xf numFmtId="169" fontId="92" fillId="0" borderId="0" xfId="836" applyNumberFormat="1" applyFont="1" applyFill="1" applyBorder="1"/>
    <xf numFmtId="180" fontId="93" fillId="0" borderId="0" xfId="0" applyNumberFormat="1" applyFont="1"/>
    <xf numFmtId="169" fontId="92" fillId="0" borderId="0" xfId="836" applyNumberFormat="1" applyFont="1" applyBorder="1"/>
    <xf numFmtId="2" fontId="102" fillId="0" borderId="0" xfId="0" applyNumberFormat="1" applyFont="1"/>
    <xf numFmtId="10" fontId="92" fillId="0" borderId="0" xfId="950" applyNumberFormat="1" applyFont="1" applyBorder="1"/>
    <xf numFmtId="10" fontId="93" fillId="0" borderId="0" xfId="950" applyNumberFormat="1" applyFont="1" applyFill="1" applyBorder="1"/>
    <xf numFmtId="10" fontId="102" fillId="0" borderId="0" xfId="0" applyNumberFormat="1" applyFont="1"/>
    <xf numFmtId="0" fontId="102" fillId="0" borderId="0" xfId="0" quotePrefix="1" applyFont="1"/>
    <xf numFmtId="175" fontId="91" fillId="0" borderId="0" xfId="0" applyNumberFormat="1" applyFont="1"/>
    <xf numFmtId="181" fontId="92" fillId="0" borderId="0" xfId="0" applyNumberFormat="1" applyFont="1"/>
    <xf numFmtId="10" fontId="92" fillId="0" borderId="0" xfId="0" applyNumberFormat="1" applyFont="1"/>
    <xf numFmtId="198" fontId="92" fillId="0" borderId="0" xfId="828" applyNumberFormat="1" applyFont="1"/>
    <xf numFmtId="4" fontId="92" fillId="0" borderId="0" xfId="0" applyNumberFormat="1" applyFont="1"/>
    <xf numFmtId="0" fontId="104" fillId="0" borderId="0" xfId="1704"/>
    <xf numFmtId="0" fontId="80" fillId="0" borderId="37" xfId="0" applyFont="1" applyBorder="1" applyAlignment="1">
      <alignment horizontal="center"/>
    </xf>
    <xf numFmtId="203" fontId="71" fillId="0" borderId="0" xfId="0" applyNumberFormat="1" applyFont="1" applyAlignment="1">
      <alignment horizontal="right" vertical="center"/>
    </xf>
    <xf numFmtId="203" fontId="72" fillId="0" borderId="0" xfId="0" applyNumberFormat="1" applyFont="1" applyAlignment="1">
      <alignment horizontal="right" vertical="center"/>
    </xf>
    <xf numFmtId="203" fontId="71" fillId="0" borderId="37" xfId="0" applyNumberFormat="1" applyFont="1" applyBorder="1" applyAlignment="1">
      <alignment horizontal="right" vertical="center"/>
    </xf>
    <xf numFmtId="0" fontId="86" fillId="0" borderId="42" xfId="0" applyFont="1" applyBorder="1" applyAlignment="1">
      <alignment horizontal="left" vertical="center" wrapText="1"/>
    </xf>
    <xf numFmtId="191" fontId="86" fillId="73" borderId="71" xfId="904" applyNumberFormat="1" applyFont="1" applyFill="1" applyBorder="1" applyAlignment="1">
      <alignment horizontal="center" vertical="center"/>
    </xf>
    <xf numFmtId="191" fontId="86" fillId="73" borderId="72" xfId="904" applyNumberFormat="1" applyFont="1" applyFill="1" applyBorder="1" applyAlignment="1">
      <alignment horizontal="center" vertical="center"/>
    </xf>
    <xf numFmtId="203" fontId="87" fillId="0" borderId="0" xfId="0" applyNumberFormat="1" applyFont="1" applyAlignment="1">
      <alignment wrapText="1"/>
    </xf>
    <xf numFmtId="203" fontId="92" fillId="0" borderId="56" xfId="904" applyNumberFormat="1" applyFont="1" applyBorder="1" applyAlignment="1">
      <alignment vertical="center"/>
    </xf>
    <xf numFmtId="204" fontId="87" fillId="0" borderId="1" xfId="904" applyNumberFormat="1" applyFont="1" applyBorder="1" applyAlignment="1">
      <alignment vertical="center"/>
    </xf>
    <xf numFmtId="0" fontId="92" fillId="0" borderId="42" xfId="877" applyFont="1" applyBorder="1" applyAlignment="1">
      <alignment horizontal="left" vertical="center" wrapText="1"/>
    </xf>
    <xf numFmtId="201" fontId="105" fillId="0" borderId="0" xfId="0" applyNumberFormat="1" applyFont="1"/>
    <xf numFmtId="165" fontId="87" fillId="0" borderId="0" xfId="903" applyNumberFormat="1" applyFont="1" applyAlignment="1">
      <alignment vertical="center"/>
    </xf>
    <xf numFmtId="165" fontId="89" fillId="99" borderId="73" xfId="904" applyNumberFormat="1" applyFont="1" applyFill="1" applyBorder="1" applyAlignment="1">
      <alignment vertical="center"/>
    </xf>
    <xf numFmtId="165" fontId="88" fillId="99" borderId="73" xfId="904" applyNumberFormat="1" applyFont="1" applyFill="1" applyBorder="1" applyAlignment="1">
      <alignment vertical="center"/>
    </xf>
    <xf numFmtId="165" fontId="89" fillId="99" borderId="73" xfId="903" applyNumberFormat="1" applyFont="1" applyFill="1" applyBorder="1" applyAlignment="1">
      <alignment vertical="center"/>
    </xf>
    <xf numFmtId="3" fontId="89" fillId="0" borderId="0" xfId="904" applyNumberFormat="1" applyFont="1"/>
    <xf numFmtId="202" fontId="89" fillId="0" borderId="0" xfId="950" applyNumberFormat="1" applyFont="1" applyFill="1" applyBorder="1" applyAlignment="1">
      <alignment vertical="center"/>
    </xf>
    <xf numFmtId="165" fontId="87" fillId="0" borderId="1" xfId="904" applyNumberFormat="1" applyFont="1" applyBorder="1" applyAlignment="1">
      <alignment vertical="center"/>
    </xf>
    <xf numFmtId="165" fontId="87" fillId="0" borderId="47" xfId="904" applyNumberFormat="1" applyFont="1" applyBorder="1" applyAlignment="1">
      <alignment vertical="center"/>
    </xf>
    <xf numFmtId="165" fontId="86" fillId="73" borderId="1" xfId="904" applyNumberFormat="1" applyFont="1" applyFill="1" applyBorder="1" applyAlignment="1">
      <alignment vertical="center"/>
    </xf>
    <xf numFmtId="165" fontId="86" fillId="73" borderId="47" xfId="904" applyNumberFormat="1" applyFont="1" applyFill="1" applyBorder="1" applyAlignment="1">
      <alignment vertical="center"/>
    </xf>
    <xf numFmtId="165" fontId="86" fillId="73" borderId="1" xfId="904" applyNumberFormat="1" applyFont="1" applyFill="1" applyBorder="1" applyAlignment="1">
      <alignment horizontal="right" vertical="center"/>
    </xf>
    <xf numFmtId="165" fontId="86" fillId="73" borderId="47" xfId="904" applyNumberFormat="1" applyFont="1" applyFill="1" applyBorder="1" applyAlignment="1">
      <alignment horizontal="right" vertical="center"/>
    </xf>
    <xf numFmtId="165" fontId="86" fillId="0" borderId="1" xfId="904" applyNumberFormat="1" applyFont="1" applyBorder="1" applyAlignment="1">
      <alignment vertical="center"/>
    </xf>
    <xf numFmtId="165" fontId="86" fillId="0" borderId="47" xfId="904" applyNumberFormat="1" applyFont="1" applyBorder="1" applyAlignment="1">
      <alignment vertical="center"/>
    </xf>
    <xf numFmtId="165" fontId="86" fillId="73" borderId="48" xfId="904" applyNumberFormat="1" applyFont="1" applyFill="1" applyBorder="1" applyAlignment="1">
      <alignment vertical="center"/>
    </xf>
    <xf numFmtId="165" fontId="86" fillId="73" borderId="49" xfId="904" applyNumberFormat="1" applyFont="1" applyFill="1" applyBorder="1" applyAlignment="1">
      <alignment vertical="center"/>
    </xf>
    <xf numFmtId="165" fontId="86" fillId="0" borderId="60" xfId="904" applyNumberFormat="1" applyFont="1" applyBorder="1" applyAlignment="1">
      <alignment vertical="center"/>
    </xf>
    <xf numFmtId="165" fontId="86" fillId="0" borderId="66" xfId="904" applyNumberFormat="1" applyFont="1" applyBorder="1" applyAlignment="1">
      <alignment vertical="center"/>
    </xf>
    <xf numFmtId="165" fontId="87" fillId="0" borderId="0" xfId="903" applyNumberFormat="1" applyFont="1"/>
    <xf numFmtId="202" fontId="89" fillId="0" borderId="0" xfId="903" applyNumberFormat="1" applyFont="1" applyAlignment="1">
      <alignment vertical="center"/>
    </xf>
    <xf numFmtId="202" fontId="89" fillId="0" borderId="0" xfId="903" applyNumberFormat="1" applyFont="1" applyAlignment="1">
      <alignment horizontal="center" vertical="center"/>
    </xf>
    <xf numFmtId="165" fontId="88" fillId="99" borderId="83" xfId="904" applyNumberFormat="1" applyFont="1" applyFill="1" applyBorder="1" applyAlignment="1">
      <alignment horizontal="center" vertical="center"/>
    </xf>
    <xf numFmtId="202" fontId="88" fillId="99" borderId="84" xfId="904" applyNumberFormat="1" applyFont="1" applyFill="1" applyBorder="1" applyAlignment="1">
      <alignment horizontal="center" vertical="center"/>
    </xf>
    <xf numFmtId="202" fontId="89" fillId="99" borderId="74" xfId="950" applyNumberFormat="1" applyFont="1" applyFill="1" applyBorder="1" applyAlignment="1">
      <alignment vertical="center"/>
    </xf>
    <xf numFmtId="165" fontId="88" fillId="99" borderId="77" xfId="904" applyNumberFormat="1" applyFont="1" applyFill="1" applyBorder="1" applyAlignment="1">
      <alignment vertical="center"/>
    </xf>
    <xf numFmtId="202" fontId="88" fillId="99" borderId="78" xfId="950" applyNumberFormat="1" applyFont="1" applyFill="1" applyBorder="1" applyAlignment="1">
      <alignment vertical="center"/>
    </xf>
    <xf numFmtId="202" fontId="89" fillId="99" borderId="74" xfId="904" applyNumberFormat="1" applyFont="1" applyFill="1" applyBorder="1" applyAlignment="1">
      <alignment vertical="center"/>
    </xf>
    <xf numFmtId="165" fontId="89" fillId="99" borderId="75" xfId="904" applyNumberFormat="1" applyFont="1" applyFill="1" applyBorder="1" applyAlignment="1">
      <alignment vertical="center"/>
    </xf>
    <xf numFmtId="202" fontId="89" fillId="99" borderId="76" xfId="904" applyNumberFormat="1" applyFont="1" applyFill="1" applyBorder="1" applyAlignment="1">
      <alignment vertical="center"/>
    </xf>
    <xf numFmtId="202" fontId="88" fillId="99" borderId="78" xfId="904" applyNumberFormat="1" applyFont="1" applyFill="1" applyBorder="1" applyAlignment="1">
      <alignment vertical="center"/>
    </xf>
    <xf numFmtId="165" fontId="88" fillId="99" borderId="79" xfId="904" applyNumberFormat="1" applyFont="1" applyFill="1" applyBorder="1" applyAlignment="1">
      <alignment horizontal="center" vertical="center"/>
    </xf>
    <xf numFmtId="202" fontId="88" fillId="99" borderId="80" xfId="0" applyNumberFormat="1" applyFont="1" applyFill="1" applyBorder="1" applyAlignment="1">
      <alignment horizontal="center" vertical="center"/>
    </xf>
    <xf numFmtId="202" fontId="89" fillId="99" borderId="74" xfId="0" applyNumberFormat="1" applyFont="1" applyFill="1" applyBorder="1" applyAlignment="1">
      <alignment horizontal="center" vertical="center" wrapText="1"/>
    </xf>
    <xf numFmtId="202" fontId="89" fillId="99" borderId="74" xfId="1700" applyNumberFormat="1" applyFont="1" applyFill="1" applyBorder="1" applyAlignment="1">
      <alignment horizontal="center" vertical="center" wrapText="1"/>
    </xf>
    <xf numFmtId="202" fontId="88" fillId="99" borderId="74" xfId="0" applyNumberFormat="1" applyFont="1" applyFill="1" applyBorder="1" applyAlignment="1">
      <alignment horizontal="center" vertical="center" wrapText="1"/>
    </xf>
    <xf numFmtId="202" fontId="88" fillId="99" borderId="78" xfId="0" applyNumberFormat="1" applyFont="1" applyFill="1" applyBorder="1" applyAlignment="1">
      <alignment horizontal="center" vertical="center" wrapText="1"/>
    </xf>
    <xf numFmtId="202" fontId="88" fillId="99" borderId="74" xfId="1700" applyNumberFormat="1" applyFont="1" applyFill="1" applyBorder="1" applyAlignment="1">
      <alignment horizontal="center" vertical="center" wrapText="1"/>
    </xf>
    <xf numFmtId="203" fontId="86" fillId="96" borderId="56" xfId="904" applyNumberFormat="1" applyFont="1" applyFill="1" applyBorder="1" applyAlignment="1">
      <alignment vertical="center"/>
    </xf>
    <xf numFmtId="203" fontId="86" fillId="96" borderId="1" xfId="904" applyNumberFormat="1" applyFont="1" applyFill="1" applyBorder="1" applyAlignment="1">
      <alignment vertical="center"/>
    </xf>
    <xf numFmtId="165" fontId="87" fillId="0" borderId="43" xfId="0" applyNumberFormat="1" applyFont="1" applyBorder="1" applyAlignment="1">
      <alignment horizontal="right" vertical="center" wrapText="1"/>
    </xf>
    <xf numFmtId="165" fontId="86" fillId="0" borderId="43" xfId="0" applyNumberFormat="1" applyFont="1" applyBorder="1" applyAlignment="1">
      <alignment horizontal="right" vertical="center" wrapText="1"/>
    </xf>
    <xf numFmtId="165" fontId="86" fillId="0" borderId="45" xfId="0" applyNumberFormat="1" applyFont="1" applyBorder="1" applyAlignment="1">
      <alignment horizontal="right" vertical="center" wrapText="1"/>
    </xf>
    <xf numFmtId="165" fontId="86" fillId="96" borderId="43" xfId="0" applyNumberFormat="1" applyFont="1" applyFill="1" applyBorder="1" applyAlignment="1">
      <alignment horizontal="right" vertical="center" wrapText="1"/>
    </xf>
    <xf numFmtId="165" fontId="86" fillId="96" borderId="43" xfId="0" applyNumberFormat="1" applyFont="1" applyFill="1" applyBorder="1" applyAlignment="1">
      <alignment vertical="center" wrapText="1"/>
    </xf>
    <xf numFmtId="165" fontId="87" fillId="96" borderId="43" xfId="0" applyNumberFormat="1" applyFont="1" applyFill="1" applyBorder="1" applyAlignment="1">
      <alignment horizontal="right" vertical="center" wrapText="1"/>
    </xf>
    <xf numFmtId="165" fontId="69" fillId="0" borderId="0" xfId="903" applyNumberFormat="1" applyFont="1"/>
    <xf numFmtId="49" fontId="92" fillId="94" borderId="28" xfId="836" applyNumberFormat="1" applyFont="1" applyFill="1" applyBorder="1" applyAlignment="1">
      <alignment horizontal="center"/>
    </xf>
    <xf numFmtId="0" fontId="80" fillId="0" borderId="65" xfId="0" applyFont="1" applyBorder="1" applyAlignment="1">
      <alignment horizontal="right" vertical="center"/>
    </xf>
    <xf numFmtId="0" fontId="80" fillId="0" borderId="65" xfId="0" applyFont="1" applyBorder="1" applyAlignment="1">
      <alignment horizontal="center" vertical="center"/>
    </xf>
    <xf numFmtId="165" fontId="77" fillId="0" borderId="0" xfId="1700" applyFont="1" applyAlignment="1">
      <alignment horizontal="right" vertical="center"/>
    </xf>
    <xf numFmtId="165" fontId="80" fillId="0" borderId="0" xfId="1700" applyFont="1" applyAlignment="1">
      <alignment horizontal="right" vertical="center"/>
    </xf>
    <xf numFmtId="0" fontId="91" fillId="96" borderId="25" xfId="0" applyFont="1" applyFill="1" applyBorder="1"/>
    <xf numFmtId="0" fontId="91" fillId="0" borderId="88" xfId="0" applyFont="1" applyBorder="1"/>
    <xf numFmtId="3" fontId="92" fillId="0" borderId="0" xfId="0" applyNumberFormat="1" applyFont="1"/>
    <xf numFmtId="3" fontId="91" fillId="0" borderId="0" xfId="0" applyNumberFormat="1" applyFont="1"/>
    <xf numFmtId="10" fontId="91" fillId="0" borderId="0" xfId="1699" applyNumberFormat="1" applyFont="1"/>
    <xf numFmtId="165" fontId="69" fillId="0" borderId="0" xfId="1700" applyFont="1"/>
    <xf numFmtId="202" fontId="88" fillId="0" borderId="0" xfId="903" applyNumberFormat="1" applyFont="1" applyAlignment="1">
      <alignment horizontal="center" vertical="center"/>
    </xf>
    <xf numFmtId="3" fontId="88" fillId="0" borderId="0" xfId="904" applyNumberFormat="1" applyFont="1" applyAlignment="1">
      <alignment horizontal="center" vertical="center"/>
    </xf>
    <xf numFmtId="202" fontId="88" fillId="0" borderId="0" xfId="904" applyNumberFormat="1" applyFont="1" applyAlignment="1">
      <alignment horizontal="center" vertical="center"/>
    </xf>
    <xf numFmtId="202" fontId="89" fillId="0" borderId="0" xfId="904" applyNumberFormat="1" applyFont="1" applyAlignment="1">
      <alignment vertical="center"/>
    </xf>
    <xf numFmtId="202" fontId="88" fillId="0" borderId="0" xfId="904" applyNumberFormat="1" applyFont="1" applyAlignment="1">
      <alignment vertical="center"/>
    </xf>
    <xf numFmtId="0" fontId="77" fillId="0" borderId="0" xfId="0" applyFont="1" applyAlignment="1">
      <alignment horizontal="right"/>
    </xf>
    <xf numFmtId="165" fontId="72" fillId="0" borderId="0" xfId="0" applyNumberFormat="1" applyFont="1" applyAlignment="1">
      <alignment vertical="center"/>
    </xf>
    <xf numFmtId="165" fontId="71" fillId="0" borderId="0" xfId="0" applyNumberFormat="1" applyFont="1" applyAlignment="1">
      <alignment vertical="center"/>
    </xf>
    <xf numFmtId="165" fontId="73" fillId="0" borderId="0" xfId="0" applyNumberFormat="1" applyFont="1"/>
    <xf numFmtId="0" fontId="72" fillId="0" borderId="25" xfId="0" applyFont="1" applyBorder="1" applyAlignment="1">
      <alignment vertical="center"/>
    </xf>
    <xf numFmtId="0" fontId="72" fillId="0" borderId="25" xfId="0" applyFont="1" applyBorder="1" applyAlignment="1">
      <alignment horizontal="center" vertical="center"/>
    </xf>
    <xf numFmtId="203" fontId="71" fillId="0" borderId="25" xfId="0" applyNumberFormat="1" applyFont="1" applyBorder="1" applyAlignment="1">
      <alignment horizontal="right" vertical="center"/>
    </xf>
    <xf numFmtId="203" fontId="72" fillId="0" borderId="25" xfId="0" applyNumberFormat="1" applyFont="1" applyBorder="1" applyAlignment="1">
      <alignment horizontal="right" vertical="center"/>
    </xf>
    <xf numFmtId="165" fontId="71" fillId="0" borderId="0" xfId="1700" applyFont="1" applyAlignment="1">
      <alignment horizontal="right" vertical="center"/>
    </xf>
    <xf numFmtId="202" fontId="71" fillId="0" borderId="0" xfId="0" applyNumberFormat="1" applyFont="1" applyAlignment="1">
      <alignment horizontal="center" vertical="center"/>
    </xf>
    <xf numFmtId="3" fontId="106" fillId="0" borderId="0" xfId="903" applyNumberFormat="1" applyFont="1"/>
    <xf numFmtId="165" fontId="106" fillId="0" borderId="0" xfId="1700" applyFont="1" applyFill="1" applyBorder="1"/>
    <xf numFmtId="165" fontId="91" fillId="0" borderId="0" xfId="0" applyNumberFormat="1" applyFont="1" applyAlignment="1">
      <alignment horizontal="center"/>
    </xf>
    <xf numFmtId="0" fontId="91" fillId="0" borderId="0" xfId="0" applyFont="1" applyAlignment="1">
      <alignment horizontal="center"/>
    </xf>
    <xf numFmtId="17" fontId="91" fillId="0" borderId="0" xfId="0" applyNumberFormat="1" applyFont="1" applyAlignment="1">
      <alignment horizontal="center"/>
    </xf>
    <xf numFmtId="165" fontId="92" fillId="0" borderId="0" xfId="0" applyNumberFormat="1" applyFont="1"/>
    <xf numFmtId="165" fontId="92" fillId="0" borderId="25" xfId="0" applyNumberFormat="1" applyFont="1" applyBorder="1"/>
    <xf numFmtId="165" fontId="91" fillId="0" borderId="0" xfId="0" applyNumberFormat="1" applyFont="1"/>
    <xf numFmtId="0" fontId="95" fillId="0" borderId="0" xfId="0" applyFont="1"/>
    <xf numFmtId="165" fontId="91" fillId="0" borderId="0" xfId="0" applyNumberFormat="1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17" fontId="91" fillId="0" borderId="0" xfId="0" applyNumberFormat="1" applyFont="1" applyAlignment="1">
      <alignment horizontal="center" vertical="center"/>
    </xf>
    <xf numFmtId="165" fontId="92" fillId="0" borderId="0" xfId="1700" applyFont="1"/>
    <xf numFmtId="0" fontId="87" fillId="100" borderId="0" xfId="0" applyFont="1" applyFill="1" applyAlignment="1">
      <alignment wrapText="1"/>
    </xf>
    <xf numFmtId="203" fontId="87" fillId="100" borderId="0" xfId="0" applyNumberFormat="1" applyFont="1" applyFill="1" applyAlignment="1">
      <alignment wrapText="1"/>
    </xf>
    <xf numFmtId="165" fontId="87" fillId="0" borderId="0" xfId="0" applyNumberFormat="1" applyFont="1" applyAlignment="1">
      <alignment wrapText="1"/>
    </xf>
    <xf numFmtId="0" fontId="71" fillId="0" borderId="65" xfId="0" applyFont="1" applyBorder="1" applyAlignment="1">
      <alignment horizontal="center" vertical="center"/>
    </xf>
    <xf numFmtId="188" fontId="73" fillId="0" borderId="0" xfId="0" applyNumberFormat="1" applyFont="1"/>
    <xf numFmtId="0" fontId="107" fillId="0" borderId="0" xfId="0" applyFont="1" applyAlignment="1">
      <alignment vertical="center" wrapText="1"/>
    </xf>
    <xf numFmtId="205" fontId="72" fillId="0" borderId="0" xfId="0" applyNumberFormat="1" applyFont="1"/>
    <xf numFmtId="165" fontId="89" fillId="100" borderId="73" xfId="904" applyNumberFormat="1" applyFont="1" applyFill="1" applyBorder="1" applyAlignment="1">
      <alignment vertical="center"/>
    </xf>
    <xf numFmtId="14" fontId="91" fillId="73" borderId="90" xfId="904" applyNumberFormat="1" applyFont="1" applyFill="1" applyBorder="1" applyAlignment="1">
      <alignment horizontal="center" vertical="center"/>
    </xf>
    <xf numFmtId="10" fontId="91" fillId="0" borderId="88" xfId="0" applyNumberFormat="1" applyFont="1" applyBorder="1"/>
    <xf numFmtId="10" fontId="71" fillId="0" borderId="0" xfId="950" applyNumberFormat="1" applyFont="1"/>
    <xf numFmtId="10" fontId="82" fillId="0" borderId="0" xfId="950" applyNumberFormat="1" applyFont="1" applyFill="1"/>
    <xf numFmtId="10" fontId="73" fillId="0" borderId="0" xfId="0" applyNumberFormat="1" applyFont="1"/>
    <xf numFmtId="10" fontId="83" fillId="0" borderId="0" xfId="950" applyNumberFormat="1" applyFont="1" applyFill="1"/>
    <xf numFmtId="165" fontId="73" fillId="0" borderId="0" xfId="0" applyNumberFormat="1" applyFont="1" applyAlignment="1">
      <alignment vertical="center"/>
    </xf>
    <xf numFmtId="202" fontId="73" fillId="0" borderId="0" xfId="0" applyNumberFormat="1" applyFont="1" applyAlignment="1">
      <alignment vertical="center"/>
    </xf>
    <xf numFmtId="202" fontId="72" fillId="0" borderId="0" xfId="0" applyNumberFormat="1" applyFont="1" applyAlignment="1">
      <alignment vertical="center"/>
    </xf>
    <xf numFmtId="202" fontId="71" fillId="0" borderId="0" xfId="0" applyNumberFormat="1" applyFont="1" applyAlignment="1">
      <alignment vertical="center"/>
    </xf>
    <xf numFmtId="165" fontId="73" fillId="0" borderId="0" xfId="1700" applyFont="1"/>
    <xf numFmtId="0" fontId="71" fillId="101" borderId="37" xfId="0" applyFont="1" applyFill="1" applyBorder="1" applyAlignment="1">
      <alignment vertical="center"/>
    </xf>
    <xf numFmtId="0" fontId="71" fillId="101" borderId="37" xfId="0" applyFont="1" applyFill="1" applyBorder="1" applyAlignment="1">
      <alignment horizontal="center" vertical="center"/>
    </xf>
    <xf numFmtId="0" fontId="73" fillId="101" borderId="0" xfId="0" applyFont="1" applyFill="1"/>
    <xf numFmtId="3" fontId="77" fillId="101" borderId="0" xfId="0" applyNumberFormat="1" applyFont="1" applyFill="1" applyAlignment="1">
      <alignment horizontal="right" vertical="center"/>
    </xf>
    <xf numFmtId="0" fontId="73" fillId="101" borderId="0" xfId="0" applyFont="1" applyFill="1" applyAlignment="1">
      <alignment vertical="center"/>
    </xf>
    <xf numFmtId="0" fontId="92" fillId="0" borderId="91" xfId="0" applyFont="1" applyBorder="1"/>
    <xf numFmtId="0" fontId="92" fillId="0" borderId="92" xfId="0" applyFont="1" applyBorder="1"/>
    <xf numFmtId="0" fontId="95" fillId="93" borderId="93" xfId="0" applyFont="1" applyFill="1" applyBorder="1"/>
    <xf numFmtId="183" fontId="94" fillId="93" borderId="94" xfId="0" applyNumberFormat="1" applyFont="1" applyFill="1" applyBorder="1"/>
    <xf numFmtId="49" fontId="94" fillId="93" borderId="95" xfId="836" applyNumberFormat="1" applyFont="1" applyFill="1" applyBorder="1" applyAlignment="1">
      <alignment horizontal="left"/>
    </xf>
    <xf numFmtId="49" fontId="94" fillId="93" borderId="96" xfId="836" applyNumberFormat="1" applyFont="1" applyFill="1" applyBorder="1" applyAlignment="1">
      <alignment horizontal="center"/>
    </xf>
    <xf numFmtId="49" fontId="94" fillId="93" borderId="97" xfId="836" applyNumberFormat="1" applyFont="1" applyFill="1" applyBorder="1" applyAlignment="1">
      <alignment horizontal="center"/>
    </xf>
    <xf numFmtId="0" fontId="92" fillId="0" borderId="98" xfId="0" applyFont="1" applyBorder="1"/>
    <xf numFmtId="183" fontId="94" fillId="93" borderId="99" xfId="0" applyNumberFormat="1" applyFont="1" applyFill="1" applyBorder="1"/>
    <xf numFmtId="170" fontId="92" fillId="100" borderId="25" xfId="0" applyNumberFormat="1" applyFont="1" applyFill="1" applyBorder="1"/>
    <xf numFmtId="0" fontId="94" fillId="93" borderId="100" xfId="0" applyFont="1" applyFill="1" applyBorder="1"/>
    <xf numFmtId="49" fontId="94" fillId="93" borderId="101" xfId="836" quotePrefix="1" applyNumberFormat="1" applyFont="1" applyFill="1" applyBorder="1" applyAlignment="1">
      <alignment horizontal="center"/>
    </xf>
    <xf numFmtId="49" fontId="94" fillId="93" borderId="102" xfId="836" quotePrefix="1" applyNumberFormat="1" applyFont="1" applyFill="1" applyBorder="1" applyAlignment="1">
      <alignment horizontal="center"/>
    </xf>
    <xf numFmtId="0" fontId="92" fillId="0" borderId="103" xfId="0" applyFont="1" applyBorder="1"/>
    <xf numFmtId="186" fontId="92" fillId="0" borderId="104" xfId="836" applyNumberFormat="1" applyFont="1" applyFill="1" applyBorder="1"/>
    <xf numFmtId="0" fontId="91" fillId="0" borderId="103" xfId="0" applyFont="1" applyBorder="1"/>
    <xf numFmtId="0" fontId="103" fillId="0" borderId="103" xfId="0" applyFont="1" applyBorder="1"/>
    <xf numFmtId="0" fontId="91" fillId="0" borderId="105" xfId="0" applyFont="1" applyBorder="1"/>
    <xf numFmtId="186" fontId="91" fillId="0" borderId="104" xfId="836" applyNumberFormat="1" applyFont="1" applyFill="1" applyBorder="1"/>
    <xf numFmtId="186" fontId="91" fillId="0" borderId="106" xfId="836" applyNumberFormat="1" applyFont="1" applyFill="1" applyBorder="1"/>
    <xf numFmtId="186" fontId="91" fillId="0" borderId="107" xfId="836" applyNumberFormat="1" applyFont="1" applyFill="1" applyBorder="1"/>
    <xf numFmtId="186" fontId="79" fillId="0" borderId="31" xfId="836" applyNumberFormat="1" applyFont="1" applyFill="1" applyBorder="1"/>
    <xf numFmtId="186" fontId="79" fillId="0" borderId="104" xfId="836" applyNumberFormat="1" applyFont="1" applyFill="1" applyBorder="1"/>
    <xf numFmtId="165" fontId="73" fillId="0" borderId="0" xfId="1700" applyFont="1" applyAlignment="1">
      <alignment vertical="center"/>
    </xf>
    <xf numFmtId="10" fontId="72" fillId="0" borderId="0" xfId="0" applyNumberFormat="1" applyFont="1" applyAlignment="1">
      <alignment horizontal="right"/>
    </xf>
    <xf numFmtId="0" fontId="76" fillId="0" borderId="0" xfId="0" applyFont="1"/>
    <xf numFmtId="0" fontId="80" fillId="0" borderId="0" xfId="0" applyFont="1" applyAlignment="1">
      <alignment horizontal="center" vertical="center"/>
    </xf>
    <xf numFmtId="188" fontId="77" fillId="0" borderId="0" xfId="0" applyNumberFormat="1" applyFont="1" applyAlignment="1">
      <alignment horizontal="right" vertical="center"/>
    </xf>
    <xf numFmtId="3" fontId="77" fillId="0" borderId="39" xfId="0" applyNumberFormat="1" applyFont="1" applyBorder="1" applyAlignment="1">
      <alignment horizontal="right" vertical="center"/>
    </xf>
    <xf numFmtId="188" fontId="77" fillId="0" borderId="39" xfId="0" applyNumberFormat="1" applyFont="1" applyBorder="1" applyAlignment="1">
      <alignment horizontal="right" vertical="center"/>
    </xf>
    <xf numFmtId="188" fontId="80" fillId="0" borderId="0" xfId="0" applyNumberFormat="1" applyFont="1" applyAlignment="1">
      <alignment horizontal="right" vertical="center"/>
    </xf>
    <xf numFmtId="165" fontId="69" fillId="0" borderId="0" xfId="1700" applyFont="1" applyFill="1" applyAlignment="1">
      <alignment vertical="center"/>
    </xf>
    <xf numFmtId="165" fontId="73" fillId="0" borderId="0" xfId="1700" applyFont="1" applyFill="1" applyAlignment="1">
      <alignment vertical="center"/>
    </xf>
    <xf numFmtId="203" fontId="73" fillId="0" borderId="0" xfId="0" applyNumberFormat="1" applyFont="1"/>
    <xf numFmtId="0" fontId="80" fillId="101" borderId="0" xfId="0" applyFont="1" applyFill="1"/>
    <xf numFmtId="0" fontId="77" fillId="101" borderId="0" xfId="0" applyFont="1" applyFill="1" applyAlignment="1">
      <alignment vertical="center"/>
    </xf>
    <xf numFmtId="202" fontId="72" fillId="101" borderId="0" xfId="0" applyNumberFormat="1" applyFont="1" applyFill="1" applyAlignment="1">
      <alignment horizontal="right" vertical="center"/>
    </xf>
    <xf numFmtId="201" fontId="72" fillId="101" borderId="0" xfId="0" applyNumberFormat="1" applyFont="1" applyFill="1" applyAlignment="1">
      <alignment horizontal="right" vertical="center"/>
    </xf>
    <xf numFmtId="0" fontId="72" fillId="101" borderId="0" xfId="0" applyFont="1" applyFill="1" applyAlignment="1">
      <alignment horizontal="right" vertical="center"/>
    </xf>
    <xf numFmtId="0" fontId="78" fillId="101" borderId="0" xfId="0" applyFont="1" applyFill="1"/>
    <xf numFmtId="0" fontId="75" fillId="101" borderId="0" xfId="0" applyFont="1" applyFill="1" applyAlignment="1">
      <alignment horizontal="justify"/>
    </xf>
    <xf numFmtId="0" fontId="72" fillId="101" borderId="0" xfId="0" applyFont="1" applyFill="1" applyAlignment="1">
      <alignment vertical="center"/>
    </xf>
    <xf numFmtId="0" fontId="71" fillId="101" borderId="0" xfId="0" applyFont="1" applyFill="1" applyAlignment="1">
      <alignment vertical="center"/>
    </xf>
    <xf numFmtId="3" fontId="80" fillId="101" borderId="0" xfId="0" applyNumberFormat="1" applyFont="1" applyFill="1" applyAlignment="1">
      <alignment horizontal="right" vertical="center"/>
    </xf>
    <xf numFmtId="3" fontId="71" fillId="101" borderId="0" xfId="0" applyNumberFormat="1" applyFont="1" applyFill="1"/>
    <xf numFmtId="3" fontId="73" fillId="101" borderId="0" xfId="0" applyNumberFormat="1" applyFont="1" applyFill="1"/>
    <xf numFmtId="14" fontId="108" fillId="73" borderId="90" xfId="904" applyNumberFormat="1" applyFont="1" applyFill="1" applyBorder="1" applyAlignment="1">
      <alignment horizontal="center" vertical="center" wrapText="1"/>
    </xf>
    <xf numFmtId="203" fontId="109" fillId="73" borderId="108" xfId="904" applyNumberFormat="1" applyFont="1" applyFill="1" applyBorder="1" applyAlignment="1">
      <alignment horizontal="center" vertical="top"/>
    </xf>
    <xf numFmtId="203" fontId="87" fillId="0" borderId="109" xfId="904" applyNumberFormat="1" applyFont="1" applyBorder="1" applyAlignment="1">
      <alignment vertical="center"/>
    </xf>
    <xf numFmtId="3" fontId="86" fillId="73" borderId="109" xfId="904" applyNumberFormat="1" applyFont="1" applyFill="1" applyBorder="1" applyAlignment="1">
      <alignment vertical="center"/>
    </xf>
    <xf numFmtId="3" fontId="87" fillId="0" borderId="109" xfId="904" applyNumberFormat="1" applyFont="1" applyBorder="1" applyAlignment="1">
      <alignment horizontal="center" vertical="center"/>
    </xf>
    <xf numFmtId="3" fontId="86" fillId="98" borderId="109" xfId="904" applyNumberFormat="1" applyFont="1" applyFill="1" applyBorder="1" applyAlignment="1">
      <alignment vertical="center"/>
    </xf>
    <xf numFmtId="204" fontId="87" fillId="0" borderId="109" xfId="904" applyNumberFormat="1" applyFont="1" applyBorder="1" applyAlignment="1">
      <alignment vertical="center"/>
    </xf>
    <xf numFmtId="199" fontId="86" fillId="73" borderId="110" xfId="904" applyNumberFormat="1" applyFont="1" applyFill="1" applyBorder="1" applyAlignment="1">
      <alignment vertical="center"/>
    </xf>
    <xf numFmtId="203" fontId="109" fillId="73" borderId="58" xfId="904" applyNumberFormat="1" applyFont="1" applyFill="1" applyBorder="1" applyAlignment="1">
      <alignment horizontal="center" vertical="top"/>
    </xf>
    <xf numFmtId="3" fontId="86" fillId="73" borderId="47" xfId="904" applyNumberFormat="1" applyFont="1" applyFill="1" applyBorder="1" applyAlignment="1">
      <alignment vertical="center"/>
    </xf>
    <xf numFmtId="3" fontId="87" fillId="0" borderId="47" xfId="904" applyNumberFormat="1" applyFont="1" applyBorder="1" applyAlignment="1">
      <alignment vertical="center"/>
    </xf>
    <xf numFmtId="3" fontId="86" fillId="98" borderId="47" xfId="904" applyNumberFormat="1" applyFont="1" applyFill="1" applyBorder="1" applyAlignment="1">
      <alignment vertical="center"/>
    </xf>
    <xf numFmtId="204" fontId="87" fillId="0" borderId="47" xfId="904" applyNumberFormat="1" applyFont="1" applyBorder="1" applyAlignment="1">
      <alignment vertical="center"/>
    </xf>
    <xf numFmtId="199" fontId="86" fillId="73" borderId="49" xfId="904" applyNumberFormat="1" applyFont="1" applyFill="1" applyBorder="1" applyAlignment="1">
      <alignment vertical="center"/>
    </xf>
    <xf numFmtId="1" fontId="92" fillId="94" borderId="31" xfId="836" applyNumberFormat="1" applyFont="1" applyFill="1" applyBorder="1" applyAlignment="1">
      <alignment horizontal="center"/>
    </xf>
    <xf numFmtId="165" fontId="70" fillId="0" borderId="0" xfId="1700" applyFont="1"/>
    <xf numFmtId="10" fontId="92" fillId="0" borderId="0" xfId="1699" applyNumberFormat="1" applyFont="1"/>
    <xf numFmtId="187" fontId="73" fillId="0" borderId="0" xfId="0" applyNumberFormat="1" applyFont="1"/>
    <xf numFmtId="202" fontId="71" fillId="101" borderId="0" xfId="0" applyNumberFormat="1" applyFont="1" applyFill="1" applyAlignment="1">
      <alignment horizontal="right" vertical="center"/>
    </xf>
    <xf numFmtId="0" fontId="82" fillId="0" borderId="0" xfId="0" applyFont="1" applyFill="1"/>
    <xf numFmtId="3" fontId="82" fillId="0" borderId="0" xfId="0" applyNumberFormat="1" applyFont="1" applyFill="1"/>
    <xf numFmtId="0" fontId="73" fillId="0" borderId="0" xfId="0" applyFont="1" applyFill="1"/>
    <xf numFmtId="9" fontId="73" fillId="0" borderId="0" xfId="950" applyFont="1" applyFill="1"/>
    <xf numFmtId="0" fontId="80" fillId="0" borderId="65" xfId="0" applyFont="1" applyBorder="1" applyAlignment="1">
      <alignment horizontal="center" vertical="center"/>
    </xf>
    <xf numFmtId="0" fontId="71" fillId="0" borderId="37" xfId="0" applyFont="1" applyBorder="1" applyAlignment="1">
      <alignment horizontal="center" vertical="center"/>
    </xf>
    <xf numFmtId="0" fontId="80" fillId="0" borderId="87" xfId="0" applyFont="1" applyBorder="1" applyAlignment="1">
      <alignment horizontal="center" vertical="center"/>
    </xf>
    <xf numFmtId="0" fontId="80" fillId="0" borderId="38" xfId="0" applyFont="1" applyBorder="1" applyAlignment="1">
      <alignment horizontal="center" vertical="center"/>
    </xf>
    <xf numFmtId="0" fontId="71" fillId="0" borderId="40" xfId="0" applyFont="1" applyBorder="1" applyAlignment="1">
      <alignment horizontal="center" vertical="center"/>
    </xf>
    <xf numFmtId="0" fontId="71" fillId="0" borderId="38" xfId="0" applyFont="1" applyBorder="1" applyAlignment="1">
      <alignment horizontal="center" vertical="center"/>
    </xf>
    <xf numFmtId="0" fontId="84" fillId="0" borderId="0" xfId="0" applyFont="1" applyAlignment="1">
      <alignment horizontal="right" vertical="center"/>
    </xf>
    <xf numFmtId="203" fontId="86" fillId="73" borderId="54" xfId="904" applyNumberFormat="1" applyFont="1" applyFill="1" applyBorder="1" applyAlignment="1">
      <alignment horizontal="left" vertical="center"/>
    </xf>
    <xf numFmtId="203" fontId="86" fillId="73" borderId="56" xfId="904" applyNumberFormat="1" applyFont="1" applyFill="1" applyBorder="1" applyAlignment="1">
      <alignment horizontal="left" vertical="center"/>
    </xf>
    <xf numFmtId="203" fontId="86" fillId="73" borderId="55" xfId="904" applyNumberFormat="1" applyFont="1" applyFill="1" applyBorder="1" applyAlignment="1">
      <alignment horizontal="center" vertical="center"/>
    </xf>
    <xf numFmtId="203" fontId="86" fillId="73" borderId="1" xfId="904" applyNumberFormat="1" applyFont="1" applyFill="1" applyBorder="1" applyAlignment="1">
      <alignment horizontal="center" vertical="center"/>
    </xf>
    <xf numFmtId="165" fontId="88" fillId="99" borderId="85" xfId="904" applyNumberFormat="1" applyFont="1" applyFill="1" applyBorder="1" applyAlignment="1">
      <alignment horizontal="center" vertical="center"/>
    </xf>
    <xf numFmtId="165" fontId="88" fillId="99" borderId="86" xfId="904" applyNumberFormat="1" applyFont="1" applyFill="1" applyBorder="1" applyAlignment="1">
      <alignment horizontal="center" vertical="center"/>
    </xf>
    <xf numFmtId="203" fontId="86" fillId="73" borderId="61" xfId="904" applyNumberFormat="1" applyFont="1" applyFill="1" applyBorder="1" applyAlignment="1">
      <alignment horizontal="left" vertical="center"/>
    </xf>
    <xf numFmtId="203" fontId="86" fillId="73" borderId="62" xfId="904" applyNumberFormat="1" applyFont="1" applyFill="1" applyBorder="1" applyAlignment="1">
      <alignment horizontal="left" vertical="center"/>
    </xf>
    <xf numFmtId="3" fontId="88" fillId="99" borderId="81" xfId="904" applyNumberFormat="1" applyFont="1" applyFill="1" applyBorder="1" applyAlignment="1">
      <alignment horizontal="center" vertical="center"/>
    </xf>
    <xf numFmtId="3" fontId="88" fillId="99" borderId="82" xfId="904" applyNumberFormat="1" applyFont="1" applyFill="1" applyBorder="1" applyAlignment="1">
      <alignment horizontal="center" vertical="center"/>
    </xf>
    <xf numFmtId="165" fontId="86" fillId="0" borderId="89" xfId="903" applyNumberFormat="1" applyFont="1" applyBorder="1" applyAlignment="1">
      <alignment horizontal="center"/>
    </xf>
    <xf numFmtId="0" fontId="86" fillId="97" borderId="70" xfId="0" applyFont="1" applyFill="1" applyBorder="1" applyAlignment="1">
      <alignment horizontal="left" vertical="center"/>
    </xf>
    <xf numFmtId="0" fontId="86" fillId="97" borderId="67" xfId="0" applyFont="1" applyFill="1" applyBorder="1" applyAlignment="1">
      <alignment horizontal="left" vertical="center"/>
    </xf>
    <xf numFmtId="0" fontId="86" fillId="97" borderId="68" xfId="0" applyFont="1" applyFill="1" applyBorder="1" applyAlignment="1">
      <alignment horizontal="center" vertical="center"/>
    </xf>
    <xf numFmtId="0" fontId="86" fillId="97" borderId="69" xfId="0" applyFont="1" applyFill="1" applyBorder="1" applyAlignment="1">
      <alignment horizontal="center" vertical="center"/>
    </xf>
  </cellXfs>
  <cellStyles count="1706">
    <cellStyle name="0,0_x000d__x000a_NA_x000d__x000a_" xfId="1"/>
    <cellStyle name="0,0_x000d__x000a_NA_x000d__x000a_ 2" xfId="2"/>
    <cellStyle name="0,0_x000d__x000a_NA_x000d__x000a_ 2 2" xfId="3"/>
    <cellStyle name="0,0_x000d__x000a_NA_x000d__x000a_ 3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akcent 1" xfId="11"/>
    <cellStyle name="20% - akcent 2" xfId="12"/>
    <cellStyle name="20% - akcent 3" xfId="13"/>
    <cellStyle name="20% - akcent 4" xfId="14"/>
    <cellStyle name="20% - akcent 5" xfId="15"/>
    <cellStyle name="20% - akcent 6" xfId="16"/>
    <cellStyle name="20% - Énfasis1" xfId="17" builtinId="30" customBuiltin="1"/>
    <cellStyle name="20% - Énfasis1 2" xfId="18"/>
    <cellStyle name="20% - Énfasis1 2 2" xfId="19"/>
    <cellStyle name="20% - Énfasis2" xfId="20" builtinId="34" customBuiltin="1"/>
    <cellStyle name="20% - Énfasis2 2" xfId="21"/>
    <cellStyle name="20% - Énfasis2 2 2" xfId="22"/>
    <cellStyle name="20% - Énfasis3" xfId="23" builtinId="38" customBuiltin="1"/>
    <cellStyle name="20% - Énfasis3 2" xfId="24"/>
    <cellStyle name="20% - Énfasis3 2 2" xfId="25"/>
    <cellStyle name="20% - Énfasis4" xfId="26" builtinId="42" customBuiltin="1"/>
    <cellStyle name="20% - Énfasis4 2" xfId="27"/>
    <cellStyle name="20% - Énfasis4 2 2" xfId="28"/>
    <cellStyle name="20% - Énfasis5" xfId="29" builtinId="46" customBuiltin="1"/>
    <cellStyle name="20% - Énfasis5 2" xfId="30"/>
    <cellStyle name="20% - Énfasis5 2 2" xfId="31"/>
    <cellStyle name="20% - Énfasis6" xfId="32" builtinId="50" customBuiltin="1"/>
    <cellStyle name="20% - Énfasis6 2" xfId="33"/>
    <cellStyle name="20% - Énfasis6 2 2" xfId="34"/>
    <cellStyle name="40% - Accent1" xfId="35"/>
    <cellStyle name="40% - Accent2" xfId="36"/>
    <cellStyle name="40% - Accent3" xfId="37"/>
    <cellStyle name="40% - Accent4" xfId="38"/>
    <cellStyle name="40% - Accent5" xfId="39"/>
    <cellStyle name="40% - Accent6" xfId="40"/>
    <cellStyle name="40% - akcent 1" xfId="41"/>
    <cellStyle name="40% - akcent 2" xfId="42"/>
    <cellStyle name="40% - akcent 3" xfId="43"/>
    <cellStyle name="40% - akcent 4" xfId="44"/>
    <cellStyle name="40% - akcent 5" xfId="45"/>
    <cellStyle name="40% - akcent 6" xfId="46"/>
    <cellStyle name="40% - Énfasis1" xfId="47" builtinId="31" customBuiltin="1"/>
    <cellStyle name="40% - Énfasis1 2" xfId="48"/>
    <cellStyle name="40% - Énfasis1 2 2" xfId="49"/>
    <cellStyle name="40% - Énfasis2" xfId="50" builtinId="35" customBuiltin="1"/>
    <cellStyle name="40% - Énfasis2 2" xfId="51"/>
    <cellStyle name="40% - Énfasis2 2 2" xfId="52"/>
    <cellStyle name="40% - Énfasis3" xfId="53" builtinId="39" customBuiltin="1"/>
    <cellStyle name="40% - Énfasis3 2" xfId="54"/>
    <cellStyle name="40% - Énfasis3 2 2" xfId="55"/>
    <cellStyle name="40% - Énfasis4" xfId="56" builtinId="43" customBuiltin="1"/>
    <cellStyle name="40% - Énfasis4 2" xfId="57"/>
    <cellStyle name="40% - Énfasis4 2 2" xfId="58"/>
    <cellStyle name="40% - Énfasis5" xfId="59" builtinId="47" customBuiltin="1"/>
    <cellStyle name="40% - Énfasis5 2" xfId="60"/>
    <cellStyle name="40% - Énfasis5 2 2" xfId="61"/>
    <cellStyle name="40% - Énfasis6" xfId="62" builtinId="51" customBuiltin="1"/>
    <cellStyle name="40% - Énfasis6 2" xfId="63"/>
    <cellStyle name="40% - Énfasis6 2 2" xfId="64"/>
    <cellStyle name="60% - Accent1" xfId="65"/>
    <cellStyle name="60% - Accent2" xfId="66"/>
    <cellStyle name="60% - Accent3" xfId="67"/>
    <cellStyle name="60% - Accent4" xfId="68"/>
    <cellStyle name="60% - Accent5" xfId="69"/>
    <cellStyle name="60% - Accent6" xfId="70"/>
    <cellStyle name="60% - akcent 1" xfId="71"/>
    <cellStyle name="60% - akcent 2" xfId="72"/>
    <cellStyle name="60% - akcent 3" xfId="73"/>
    <cellStyle name="60% - akcent 4" xfId="74"/>
    <cellStyle name="60% - akcent 5" xfId="75"/>
    <cellStyle name="60% - akcent 6" xfId="76"/>
    <cellStyle name="60% - Énfasis1" xfId="77" builtinId="32" customBuiltin="1"/>
    <cellStyle name="60% - Énfasis1 2 2" xfId="78"/>
    <cellStyle name="60% - Énfasis2" xfId="79" builtinId="36" customBuiltin="1"/>
    <cellStyle name="60% - Énfasis2 2 2" xfId="80"/>
    <cellStyle name="60% - Énfasis3" xfId="81" builtinId="40" customBuiltin="1"/>
    <cellStyle name="60% - Énfasis3 2 2" xfId="82"/>
    <cellStyle name="60% - Énfasis4" xfId="83" builtinId="44" customBuiltin="1"/>
    <cellStyle name="60% - Énfasis4 2 2" xfId="84"/>
    <cellStyle name="60% - Énfasis5" xfId="85" builtinId="48" customBuiltin="1"/>
    <cellStyle name="60% - Énfasis5 2 2" xfId="86"/>
    <cellStyle name="60% - Énfasis6" xfId="87" builtinId="52" customBuiltin="1"/>
    <cellStyle name="60% - Énfasis6 2 2" xfId="88"/>
    <cellStyle name="Accent1" xfId="89"/>
    <cellStyle name="Accent1 - 20%" xfId="90"/>
    <cellStyle name="Accent1 - 20% 10" xfId="91"/>
    <cellStyle name="Accent1 - 20% 11" xfId="92"/>
    <cellStyle name="Accent1 - 20% 12" xfId="93"/>
    <cellStyle name="Accent1 - 20% 13" xfId="94"/>
    <cellStyle name="Accent1 - 20% 2" xfId="95"/>
    <cellStyle name="Accent1 - 20% 2 2" xfId="96"/>
    <cellStyle name="Accent1 - 20% 2 2 2" xfId="97"/>
    <cellStyle name="Accent1 - 20% 3" xfId="98"/>
    <cellStyle name="Accent1 - 20% 3 2" xfId="99"/>
    <cellStyle name="Accent1 - 20% 4" xfId="100"/>
    <cellStyle name="Accent1 - 20% 4 2" xfId="101"/>
    <cellStyle name="Accent1 - 20% 5" xfId="102"/>
    <cellStyle name="Accent1 - 20% 5 2" xfId="103"/>
    <cellStyle name="Accent1 - 20% 6" xfId="104"/>
    <cellStyle name="Accent1 - 20% 6 2" xfId="105"/>
    <cellStyle name="Accent1 - 20% 7" xfId="106"/>
    <cellStyle name="Accent1 - 20% 8" xfId="107"/>
    <cellStyle name="Accent1 - 20% 9" xfId="108"/>
    <cellStyle name="Accent1 - 20%_Combinación de negocios - AA-IAMv3" xfId="109"/>
    <cellStyle name="Accent1 - 40%" xfId="110"/>
    <cellStyle name="Accent1 - 40% 10" xfId="111"/>
    <cellStyle name="Accent1 - 40% 11" xfId="112"/>
    <cellStyle name="Accent1 - 40% 12" xfId="113"/>
    <cellStyle name="Accent1 - 40% 13" xfId="114"/>
    <cellStyle name="Accent1 - 40% 2" xfId="115"/>
    <cellStyle name="Accent1 - 40% 2 2" xfId="116"/>
    <cellStyle name="Accent1 - 40% 2 2 2" xfId="117"/>
    <cellStyle name="Accent1 - 40% 3" xfId="118"/>
    <cellStyle name="Accent1 - 40% 3 2" xfId="119"/>
    <cellStyle name="Accent1 - 40% 4" xfId="120"/>
    <cellStyle name="Accent1 - 40% 4 2" xfId="121"/>
    <cellStyle name="Accent1 - 40% 5" xfId="122"/>
    <cellStyle name="Accent1 - 40% 5 2" xfId="123"/>
    <cellStyle name="Accent1 - 40% 6" xfId="124"/>
    <cellStyle name="Accent1 - 40% 6 2" xfId="125"/>
    <cellStyle name="Accent1 - 40% 7" xfId="126"/>
    <cellStyle name="Accent1 - 40% 8" xfId="127"/>
    <cellStyle name="Accent1 - 40% 9" xfId="128"/>
    <cellStyle name="Accent1 - 40%_Combinación de negocios - AA-IAMv3" xfId="129"/>
    <cellStyle name="Accent1 - 60%" xfId="130"/>
    <cellStyle name="Accent1 - 60% 10" xfId="131"/>
    <cellStyle name="Accent1 - 60% 11" xfId="132"/>
    <cellStyle name="Accent1 - 60% 2" xfId="133"/>
    <cellStyle name="Accent1 - 60% 2 2" xfId="134"/>
    <cellStyle name="Accent1 - 60% 2 2 2" xfId="135"/>
    <cellStyle name="Accent1 - 60% 3" xfId="136"/>
    <cellStyle name="Accent1 - 60% 4" xfId="137"/>
    <cellStyle name="Accent1 - 60% 5" xfId="138"/>
    <cellStyle name="Accent1 - 60% 6" xfId="139"/>
    <cellStyle name="Accent1 - 60% 7" xfId="140"/>
    <cellStyle name="Accent1 - 60% 8" xfId="141"/>
    <cellStyle name="Accent1 - 60% 9" xfId="142"/>
    <cellStyle name="Accent2" xfId="143"/>
    <cellStyle name="Accent2 - 20%" xfId="144"/>
    <cellStyle name="Accent2 - 20% 10" xfId="145"/>
    <cellStyle name="Accent2 - 20% 11" xfId="146"/>
    <cellStyle name="Accent2 - 20% 12" xfId="147"/>
    <cellStyle name="Accent2 - 20% 13" xfId="148"/>
    <cellStyle name="Accent2 - 20% 2" xfId="149"/>
    <cellStyle name="Accent2 - 20% 2 2" xfId="150"/>
    <cellStyle name="Accent2 - 20% 2 2 2" xfId="151"/>
    <cellStyle name="Accent2 - 20% 3" xfId="152"/>
    <cellStyle name="Accent2 - 20% 3 2" xfId="153"/>
    <cellStyle name="Accent2 - 20% 4" xfId="154"/>
    <cellStyle name="Accent2 - 20% 4 2" xfId="155"/>
    <cellStyle name="Accent2 - 20% 5" xfId="156"/>
    <cellStyle name="Accent2 - 20% 5 2" xfId="157"/>
    <cellStyle name="Accent2 - 20% 6" xfId="158"/>
    <cellStyle name="Accent2 - 20% 6 2" xfId="159"/>
    <cellStyle name="Accent2 - 20% 7" xfId="160"/>
    <cellStyle name="Accent2 - 20% 8" xfId="161"/>
    <cellStyle name="Accent2 - 20% 9" xfId="162"/>
    <cellStyle name="Accent2 - 20%_Combinación de negocios - AA-IAMv3" xfId="163"/>
    <cellStyle name="Accent2 - 40%" xfId="164"/>
    <cellStyle name="Accent2 - 40% 10" xfId="165"/>
    <cellStyle name="Accent2 - 40% 11" xfId="166"/>
    <cellStyle name="Accent2 - 40% 12" xfId="167"/>
    <cellStyle name="Accent2 - 40% 13" xfId="168"/>
    <cellStyle name="Accent2 - 40% 2" xfId="169"/>
    <cellStyle name="Accent2 - 40% 2 2" xfId="170"/>
    <cellStyle name="Accent2 - 40% 2 2 2" xfId="171"/>
    <cellStyle name="Accent2 - 40% 3" xfId="172"/>
    <cellStyle name="Accent2 - 40% 3 2" xfId="173"/>
    <cellStyle name="Accent2 - 40% 4" xfId="174"/>
    <cellStyle name="Accent2 - 40% 4 2" xfId="175"/>
    <cellStyle name="Accent2 - 40% 5" xfId="176"/>
    <cellStyle name="Accent2 - 40% 5 2" xfId="177"/>
    <cellStyle name="Accent2 - 40% 6" xfId="178"/>
    <cellStyle name="Accent2 - 40% 6 2" xfId="179"/>
    <cellStyle name="Accent2 - 40% 7" xfId="180"/>
    <cellStyle name="Accent2 - 40% 8" xfId="181"/>
    <cellStyle name="Accent2 - 40% 9" xfId="182"/>
    <cellStyle name="Accent2 - 40%_Combinación de negocios - AA-IAMv3" xfId="183"/>
    <cellStyle name="Accent2 - 60%" xfId="184"/>
    <cellStyle name="Accent2 - 60% 10" xfId="185"/>
    <cellStyle name="Accent2 - 60% 11" xfId="186"/>
    <cellStyle name="Accent2 - 60% 2" xfId="187"/>
    <cellStyle name="Accent2 - 60% 2 2" xfId="188"/>
    <cellStyle name="Accent2 - 60% 2 2 2" xfId="189"/>
    <cellStyle name="Accent2 - 60% 3" xfId="190"/>
    <cellStyle name="Accent2 - 60% 4" xfId="191"/>
    <cellStyle name="Accent2 - 60% 5" xfId="192"/>
    <cellStyle name="Accent2 - 60% 6" xfId="193"/>
    <cellStyle name="Accent2 - 60% 7" xfId="194"/>
    <cellStyle name="Accent2 - 60% 8" xfId="195"/>
    <cellStyle name="Accent2 - 60% 9" xfId="196"/>
    <cellStyle name="Accent3" xfId="197"/>
    <cellStyle name="Accent3 - 20%" xfId="198"/>
    <cellStyle name="Accent3 - 20% 10" xfId="199"/>
    <cellStyle name="Accent3 - 20% 11" xfId="200"/>
    <cellStyle name="Accent3 - 20% 12" xfId="201"/>
    <cellStyle name="Accent3 - 20% 13" xfId="202"/>
    <cellStyle name="Accent3 - 20% 2" xfId="203"/>
    <cellStyle name="Accent3 - 20% 2 2" xfId="204"/>
    <cellStyle name="Accent3 - 20% 2 2 2" xfId="205"/>
    <cellStyle name="Accent3 - 20% 3" xfId="206"/>
    <cellStyle name="Accent3 - 20% 3 2" xfId="207"/>
    <cellStyle name="Accent3 - 20% 4" xfId="208"/>
    <cellStyle name="Accent3 - 20% 4 2" xfId="209"/>
    <cellStyle name="Accent3 - 20% 5" xfId="210"/>
    <cellStyle name="Accent3 - 20% 5 2" xfId="211"/>
    <cellStyle name="Accent3 - 20% 6" xfId="212"/>
    <cellStyle name="Accent3 - 20% 6 2" xfId="213"/>
    <cellStyle name="Accent3 - 20% 7" xfId="214"/>
    <cellStyle name="Accent3 - 20% 8" xfId="215"/>
    <cellStyle name="Accent3 - 20% 9" xfId="216"/>
    <cellStyle name="Accent3 - 20%_Combinación de negocios - AA-IAMv3" xfId="217"/>
    <cellStyle name="Accent3 - 40%" xfId="218"/>
    <cellStyle name="Accent3 - 40% 10" xfId="219"/>
    <cellStyle name="Accent3 - 40% 11" xfId="220"/>
    <cellStyle name="Accent3 - 40% 12" xfId="221"/>
    <cellStyle name="Accent3 - 40% 13" xfId="222"/>
    <cellStyle name="Accent3 - 40% 2" xfId="223"/>
    <cellStyle name="Accent3 - 40% 2 2" xfId="224"/>
    <cellStyle name="Accent3 - 40% 2 2 2" xfId="225"/>
    <cellStyle name="Accent3 - 40% 3" xfId="226"/>
    <cellStyle name="Accent3 - 40% 3 2" xfId="227"/>
    <cellStyle name="Accent3 - 40% 4" xfId="228"/>
    <cellStyle name="Accent3 - 40% 4 2" xfId="229"/>
    <cellStyle name="Accent3 - 40% 5" xfId="230"/>
    <cellStyle name="Accent3 - 40% 5 2" xfId="231"/>
    <cellStyle name="Accent3 - 40% 6" xfId="232"/>
    <cellStyle name="Accent3 - 40% 6 2" xfId="233"/>
    <cellStyle name="Accent3 - 40% 7" xfId="234"/>
    <cellStyle name="Accent3 - 40% 8" xfId="235"/>
    <cellStyle name="Accent3 - 40% 9" xfId="236"/>
    <cellStyle name="Accent3 - 40%_Combinación de negocios - AA-IAMv3" xfId="237"/>
    <cellStyle name="Accent3 - 60%" xfId="238"/>
    <cellStyle name="Accent3 - 60% 10" xfId="239"/>
    <cellStyle name="Accent3 - 60% 11" xfId="240"/>
    <cellStyle name="Accent3 - 60% 2" xfId="241"/>
    <cellStyle name="Accent3 - 60% 2 2" xfId="242"/>
    <cellStyle name="Accent3 - 60% 2 2 2" xfId="243"/>
    <cellStyle name="Accent3 - 60% 3" xfId="244"/>
    <cellStyle name="Accent3 - 60% 4" xfId="245"/>
    <cellStyle name="Accent3 - 60% 5" xfId="246"/>
    <cellStyle name="Accent3 - 60% 6" xfId="247"/>
    <cellStyle name="Accent3 - 60% 7" xfId="248"/>
    <cellStyle name="Accent3 - 60% 8" xfId="249"/>
    <cellStyle name="Accent3 - 60% 9" xfId="250"/>
    <cellStyle name="Accent4" xfId="251"/>
    <cellStyle name="Accent4 - 20%" xfId="252"/>
    <cellStyle name="Accent4 - 20% 10" xfId="253"/>
    <cellStyle name="Accent4 - 20% 11" xfId="254"/>
    <cellStyle name="Accent4 - 20% 12" xfId="255"/>
    <cellStyle name="Accent4 - 20% 13" xfId="256"/>
    <cellStyle name="Accent4 - 20% 2" xfId="257"/>
    <cellStyle name="Accent4 - 20% 2 2" xfId="258"/>
    <cellStyle name="Accent4 - 20% 2 2 2" xfId="259"/>
    <cellStyle name="Accent4 - 20% 3" xfId="260"/>
    <cellStyle name="Accent4 - 20% 3 2" xfId="261"/>
    <cellStyle name="Accent4 - 20% 4" xfId="262"/>
    <cellStyle name="Accent4 - 20% 4 2" xfId="263"/>
    <cellStyle name="Accent4 - 20% 5" xfId="264"/>
    <cellStyle name="Accent4 - 20% 5 2" xfId="265"/>
    <cellStyle name="Accent4 - 20% 6" xfId="266"/>
    <cellStyle name="Accent4 - 20% 6 2" xfId="267"/>
    <cellStyle name="Accent4 - 20% 7" xfId="268"/>
    <cellStyle name="Accent4 - 20% 8" xfId="269"/>
    <cellStyle name="Accent4 - 20% 9" xfId="270"/>
    <cellStyle name="Accent4 - 20%_Combinación de negocios - AA-IAMv3" xfId="271"/>
    <cellStyle name="Accent4 - 40%" xfId="272"/>
    <cellStyle name="Accent4 - 40% 10" xfId="273"/>
    <cellStyle name="Accent4 - 40% 11" xfId="274"/>
    <cellStyle name="Accent4 - 40% 12" xfId="275"/>
    <cellStyle name="Accent4 - 40% 13" xfId="276"/>
    <cellStyle name="Accent4 - 40% 2" xfId="277"/>
    <cellStyle name="Accent4 - 40% 2 2" xfId="278"/>
    <cellStyle name="Accent4 - 40% 2 2 2" xfId="279"/>
    <cellStyle name="Accent4 - 40% 3" xfId="280"/>
    <cellStyle name="Accent4 - 40% 3 2" xfId="281"/>
    <cellStyle name="Accent4 - 40% 4" xfId="282"/>
    <cellStyle name="Accent4 - 40% 4 2" xfId="283"/>
    <cellStyle name="Accent4 - 40% 5" xfId="284"/>
    <cellStyle name="Accent4 - 40% 5 2" xfId="285"/>
    <cellStyle name="Accent4 - 40% 6" xfId="286"/>
    <cellStyle name="Accent4 - 40% 6 2" xfId="287"/>
    <cellStyle name="Accent4 - 40% 7" xfId="288"/>
    <cellStyle name="Accent4 - 40% 8" xfId="289"/>
    <cellStyle name="Accent4 - 40% 9" xfId="290"/>
    <cellStyle name="Accent4 - 40%_Combinación de negocios - AA-IAMv3" xfId="291"/>
    <cellStyle name="Accent4 - 60%" xfId="292"/>
    <cellStyle name="Accent4 - 60% 10" xfId="293"/>
    <cellStyle name="Accent4 - 60% 11" xfId="294"/>
    <cellStyle name="Accent4 - 60% 2" xfId="295"/>
    <cellStyle name="Accent4 - 60% 2 2" xfId="296"/>
    <cellStyle name="Accent4 - 60% 2 2 2" xfId="297"/>
    <cellStyle name="Accent4 - 60% 3" xfId="298"/>
    <cellStyle name="Accent4 - 60% 4" xfId="299"/>
    <cellStyle name="Accent4 - 60% 5" xfId="300"/>
    <cellStyle name="Accent4 - 60% 6" xfId="301"/>
    <cellStyle name="Accent4 - 60% 7" xfId="302"/>
    <cellStyle name="Accent4 - 60% 8" xfId="303"/>
    <cellStyle name="Accent4 - 60% 9" xfId="304"/>
    <cellStyle name="Accent5" xfId="305"/>
    <cellStyle name="Accent5 - 20%" xfId="306"/>
    <cellStyle name="Accent5 - 20% 10" xfId="307"/>
    <cellStyle name="Accent5 - 20% 11" xfId="308"/>
    <cellStyle name="Accent5 - 20% 12" xfId="309"/>
    <cellStyle name="Accent5 - 20% 13" xfId="310"/>
    <cellStyle name="Accent5 - 20% 2" xfId="311"/>
    <cellStyle name="Accent5 - 20% 2 2" xfId="312"/>
    <cellStyle name="Accent5 - 20% 2 2 2" xfId="313"/>
    <cellStyle name="Accent5 - 20% 3" xfId="314"/>
    <cellStyle name="Accent5 - 20% 3 2" xfId="315"/>
    <cellStyle name="Accent5 - 20% 4" xfId="316"/>
    <cellStyle name="Accent5 - 20% 4 2" xfId="317"/>
    <cellStyle name="Accent5 - 20% 5" xfId="318"/>
    <cellStyle name="Accent5 - 20% 5 2" xfId="319"/>
    <cellStyle name="Accent5 - 20% 6" xfId="320"/>
    <cellStyle name="Accent5 - 20% 6 2" xfId="321"/>
    <cellStyle name="Accent5 - 20% 7" xfId="322"/>
    <cellStyle name="Accent5 - 20% 8" xfId="323"/>
    <cellStyle name="Accent5 - 20% 9" xfId="324"/>
    <cellStyle name="Accent5 - 20%_Combinación de negocios - AA-IAMv3" xfId="325"/>
    <cellStyle name="Accent5 - 40%" xfId="326"/>
    <cellStyle name="Accent5 - 40% 2" xfId="327"/>
    <cellStyle name="Accent5 - 40% 2 2" xfId="328"/>
    <cellStyle name="Accent5 - 40% 3" xfId="329"/>
    <cellStyle name="Accent5 - 40% 3 2" xfId="330"/>
    <cellStyle name="Accent5 - 40% 4" xfId="331"/>
    <cellStyle name="Accent5 - 40% 4 2" xfId="332"/>
    <cellStyle name="Accent5 - 40% 5" xfId="333"/>
    <cellStyle name="Accent5 - 40% 5 2" xfId="334"/>
    <cellStyle name="Accent5 - 40% 6" xfId="335"/>
    <cellStyle name="Accent5 - 40% 6 2" xfId="336"/>
    <cellStyle name="Accent5 - 40% 7" xfId="337"/>
    <cellStyle name="Accent5 - 40% 8" xfId="338"/>
    <cellStyle name="Accent5 - 40% 9" xfId="339"/>
    <cellStyle name="Accent5 - 40%_Combinación de negocios - AA-IAMv3" xfId="340"/>
    <cellStyle name="Accent5 - 60%" xfId="341"/>
    <cellStyle name="Accent5 - 60% 10" xfId="342"/>
    <cellStyle name="Accent5 - 60% 11" xfId="343"/>
    <cellStyle name="Accent5 - 60% 2" xfId="344"/>
    <cellStyle name="Accent5 - 60% 2 2" xfId="345"/>
    <cellStyle name="Accent5 - 60% 2 2 2" xfId="346"/>
    <cellStyle name="Accent5 - 60% 3" xfId="347"/>
    <cellStyle name="Accent5 - 60% 4" xfId="348"/>
    <cellStyle name="Accent5 - 60% 5" xfId="349"/>
    <cellStyle name="Accent5 - 60% 6" xfId="350"/>
    <cellStyle name="Accent5 - 60% 7" xfId="351"/>
    <cellStyle name="Accent5 - 60% 8" xfId="352"/>
    <cellStyle name="Accent5 - 60% 9" xfId="353"/>
    <cellStyle name="Accent6" xfId="354"/>
    <cellStyle name="Accent6 - 20%" xfId="355"/>
    <cellStyle name="Accent6 - 20% 2" xfId="356"/>
    <cellStyle name="Accent6 - 20% 2 2" xfId="357"/>
    <cellStyle name="Accent6 - 20% 3" xfId="358"/>
    <cellStyle name="Accent6 - 20% 3 2" xfId="359"/>
    <cellStyle name="Accent6 - 20% 4" xfId="360"/>
    <cellStyle name="Accent6 - 20% 4 2" xfId="361"/>
    <cellStyle name="Accent6 - 20% 5" xfId="362"/>
    <cellStyle name="Accent6 - 20% 5 2" xfId="363"/>
    <cellStyle name="Accent6 - 20% 6" xfId="364"/>
    <cellStyle name="Accent6 - 20% 6 2" xfId="365"/>
    <cellStyle name="Accent6 - 20% 7" xfId="366"/>
    <cellStyle name="Accent6 - 20% 8" xfId="367"/>
    <cellStyle name="Accent6 - 20% 9" xfId="368"/>
    <cellStyle name="Accent6 - 20%_Combinación de negocios - AA-IAMv3" xfId="369"/>
    <cellStyle name="Accent6 - 40%" xfId="370"/>
    <cellStyle name="Accent6 - 40% 10" xfId="371"/>
    <cellStyle name="Accent6 - 40% 11" xfId="372"/>
    <cellStyle name="Accent6 - 40% 12" xfId="373"/>
    <cellStyle name="Accent6 - 40% 13" xfId="374"/>
    <cellStyle name="Accent6 - 40% 2" xfId="375"/>
    <cellStyle name="Accent6 - 40% 2 2" xfId="376"/>
    <cellStyle name="Accent6 - 40% 2 2 2" xfId="377"/>
    <cellStyle name="Accent6 - 40% 3" xfId="378"/>
    <cellStyle name="Accent6 - 40% 3 2" xfId="379"/>
    <cellStyle name="Accent6 - 40% 4" xfId="380"/>
    <cellStyle name="Accent6 - 40% 4 2" xfId="381"/>
    <cellStyle name="Accent6 - 40% 5" xfId="382"/>
    <cellStyle name="Accent6 - 40% 5 2" xfId="383"/>
    <cellStyle name="Accent6 - 40% 6" xfId="384"/>
    <cellStyle name="Accent6 - 40% 6 2" xfId="385"/>
    <cellStyle name="Accent6 - 40% 7" xfId="386"/>
    <cellStyle name="Accent6 - 40% 8" xfId="387"/>
    <cellStyle name="Accent6 - 40% 9" xfId="388"/>
    <cellStyle name="Accent6 - 40%_Combinación de negocios - AA-IAMv3" xfId="389"/>
    <cellStyle name="Accent6 - 60%" xfId="390"/>
    <cellStyle name="Accent6 - 60% 10" xfId="391"/>
    <cellStyle name="Accent6 - 60% 11" xfId="392"/>
    <cellStyle name="Accent6 - 60% 2" xfId="393"/>
    <cellStyle name="Accent6 - 60% 2 2" xfId="394"/>
    <cellStyle name="Accent6 - 60% 2 2 2" xfId="395"/>
    <cellStyle name="Accent6 - 60% 3" xfId="396"/>
    <cellStyle name="Accent6 - 60% 4" xfId="397"/>
    <cellStyle name="Accent6 - 60% 5" xfId="398"/>
    <cellStyle name="Accent6 - 60% 6" xfId="399"/>
    <cellStyle name="Accent6 - 60% 7" xfId="400"/>
    <cellStyle name="Accent6 - 60% 8" xfId="401"/>
    <cellStyle name="Accent6 - 60% 9" xfId="402"/>
    <cellStyle name="Akcent 1" xfId="403"/>
    <cellStyle name="Akcent 2" xfId="404"/>
    <cellStyle name="Akcent 3" xfId="405"/>
    <cellStyle name="Akcent 4" xfId="406"/>
    <cellStyle name="Akcent 5" xfId="407"/>
    <cellStyle name="Akcent 6" xfId="408"/>
    <cellStyle name="Bad" xfId="409"/>
    <cellStyle name="Buena 2" xfId="411"/>
    <cellStyle name="Buena 2 2" xfId="412"/>
    <cellStyle name="Buena 2 3" xfId="413"/>
    <cellStyle name="Buena 2 4" xfId="414"/>
    <cellStyle name="Buena 2 5" xfId="415"/>
    <cellStyle name="Buena 2 6" xfId="416"/>
    <cellStyle name="Buena 3" xfId="417"/>
    <cellStyle name="Buena 3 2" xfId="418"/>
    <cellStyle name="Buena 3 3" xfId="419"/>
    <cellStyle name="Buena 3 4" xfId="420"/>
    <cellStyle name="Buena 3 5" xfId="421"/>
    <cellStyle name="Buena 4" xfId="422"/>
    <cellStyle name="Buena 4 2" xfId="423"/>
    <cellStyle name="Buena 4 3" xfId="424"/>
    <cellStyle name="Buena 4 4" xfId="425"/>
    <cellStyle name="Buena 4 5" xfId="426"/>
    <cellStyle name="Buena 5" xfId="427"/>
    <cellStyle name="Buena 5 2" xfId="428"/>
    <cellStyle name="Buena 5 3" xfId="429"/>
    <cellStyle name="Buena 5 4" xfId="430"/>
    <cellStyle name="Buena 5 5" xfId="431"/>
    <cellStyle name="Buena 6" xfId="432"/>
    <cellStyle name="Buena 6 2" xfId="433"/>
    <cellStyle name="Buena 7" xfId="434"/>
    <cellStyle name="Buena 7 2" xfId="435"/>
    <cellStyle name="Buena 8" xfId="436"/>
    <cellStyle name="Buena 8 2" xfId="437"/>
    <cellStyle name="Buena 9" xfId="438"/>
    <cellStyle name="Buena 9 2" xfId="439"/>
    <cellStyle name="Bueno" xfId="410" builtinId="26" customBuiltin="1"/>
    <cellStyle name="Calculation" xfId="440"/>
    <cellStyle name="Cálculo" xfId="441" builtinId="22" customBuiltin="1"/>
    <cellStyle name="Cálculo 2" xfId="442"/>
    <cellStyle name="Cálculo 2 2" xfId="443"/>
    <cellStyle name="Cálculo 2 3" xfId="444"/>
    <cellStyle name="Cálculo 2 4" xfId="445"/>
    <cellStyle name="Cálculo 2 5" xfId="446"/>
    <cellStyle name="Cálculo 2 6" xfId="447"/>
    <cellStyle name="Cálculo 3" xfId="448"/>
    <cellStyle name="Cálculo 3 2" xfId="449"/>
    <cellStyle name="Cálculo 3 3" xfId="450"/>
    <cellStyle name="Cálculo 3 4" xfId="451"/>
    <cellStyle name="Cálculo 3 5" xfId="452"/>
    <cellStyle name="Cálculo 4" xfId="453"/>
    <cellStyle name="Cálculo 4 2" xfId="454"/>
    <cellStyle name="Cálculo 4 3" xfId="455"/>
    <cellStyle name="Cálculo 4 4" xfId="456"/>
    <cellStyle name="Cálculo 4 5" xfId="457"/>
    <cellStyle name="Cálculo 5" xfId="458"/>
    <cellStyle name="Cálculo 5 2" xfId="459"/>
    <cellStyle name="Cálculo 5 3" xfId="460"/>
    <cellStyle name="Cálculo 5 4" xfId="461"/>
    <cellStyle name="Cálculo 5 5" xfId="462"/>
    <cellStyle name="Cálculo 6" xfId="463"/>
    <cellStyle name="Cálculo 6 2" xfId="464"/>
    <cellStyle name="Cálculo 7" xfId="465"/>
    <cellStyle name="Cálculo 8" xfId="466"/>
    <cellStyle name="Cálculo 9" xfId="467"/>
    <cellStyle name="Celda de comprobación" xfId="468" builtinId="23" customBuiltin="1"/>
    <cellStyle name="Celda de comprobación 2" xfId="469"/>
    <cellStyle name="Celda de comprobación 2 2" xfId="470"/>
    <cellStyle name="Celda de comprobación 2 3" xfId="471"/>
    <cellStyle name="Celda de comprobación 2 4" xfId="472"/>
    <cellStyle name="Celda de comprobación 2 5" xfId="473"/>
    <cellStyle name="Celda de comprobación 2 6" xfId="474"/>
    <cellStyle name="Celda de comprobación 3" xfId="475"/>
    <cellStyle name="Celda de comprobación 3 2" xfId="476"/>
    <cellStyle name="Celda de comprobación 3 3" xfId="477"/>
    <cellStyle name="Celda de comprobación 3 4" xfId="478"/>
    <cellStyle name="Celda de comprobación 3 5" xfId="479"/>
    <cellStyle name="Celda de comprobación 4" xfId="480"/>
    <cellStyle name="Celda de comprobación 4 2" xfId="481"/>
    <cellStyle name="Celda de comprobación 4 3" xfId="482"/>
    <cellStyle name="Celda de comprobación 4 4" xfId="483"/>
    <cellStyle name="Celda de comprobación 4 5" xfId="484"/>
    <cellStyle name="Celda de comprobación 5" xfId="485"/>
    <cellStyle name="Celda de comprobación 5 2" xfId="486"/>
    <cellStyle name="Celda de comprobación 5 3" xfId="487"/>
    <cellStyle name="Celda de comprobación 5 4" xfId="488"/>
    <cellStyle name="Celda de comprobación 5 5" xfId="489"/>
    <cellStyle name="Celda de comprobación 6" xfId="490"/>
    <cellStyle name="Celda de comprobación 6 2" xfId="491"/>
    <cellStyle name="Celda de comprobación 7" xfId="492"/>
    <cellStyle name="Celda de comprobación 8" xfId="493"/>
    <cellStyle name="Celda de comprobación 9" xfId="494"/>
    <cellStyle name="Celda vinculada" xfId="495" builtinId="24" customBuiltin="1"/>
    <cellStyle name="Celda vinculada 2" xfId="496"/>
    <cellStyle name="Celda vinculada 2 2" xfId="497"/>
    <cellStyle name="Celda vinculada 2 3" xfId="498"/>
    <cellStyle name="Celda vinculada 2 4" xfId="499"/>
    <cellStyle name="Celda vinculada 2 5" xfId="500"/>
    <cellStyle name="Celda vinculada 2 6" xfId="501"/>
    <cellStyle name="Celda vinculada 3" xfId="502"/>
    <cellStyle name="Celda vinculada 3 2" xfId="503"/>
    <cellStyle name="Celda vinculada 3 3" xfId="504"/>
    <cellStyle name="Celda vinculada 3 4" xfId="505"/>
    <cellStyle name="Celda vinculada 3 5" xfId="506"/>
    <cellStyle name="Celda vinculada 4" xfId="507"/>
    <cellStyle name="Celda vinculada 4 2" xfId="508"/>
    <cellStyle name="Celda vinculada 4 3" xfId="509"/>
    <cellStyle name="Celda vinculada 4 4" xfId="510"/>
    <cellStyle name="Celda vinculada 4 5" xfId="511"/>
    <cellStyle name="Celda vinculada 5" xfId="512"/>
    <cellStyle name="Celda vinculada 5 2" xfId="513"/>
    <cellStyle name="Celda vinculada 5 3" xfId="514"/>
    <cellStyle name="Celda vinculada 5 4" xfId="515"/>
    <cellStyle name="Celda vinculada 5 5" xfId="516"/>
    <cellStyle name="Celda vinculada 6" xfId="517"/>
    <cellStyle name="Celda vinculada 6 2" xfId="518"/>
    <cellStyle name="Celda vinculada 7" xfId="519"/>
    <cellStyle name="Celda vinculada 8" xfId="520"/>
    <cellStyle name="Celda vinculada 9" xfId="521"/>
    <cellStyle name="Check Cell" xfId="522"/>
    <cellStyle name="Check Cell 2" xfId="523"/>
    <cellStyle name="Check Cell 3" xfId="524"/>
    <cellStyle name="Check Cell 4" xfId="525"/>
    <cellStyle name="Check Cell 5" xfId="526"/>
    <cellStyle name="Dane wej?ciowe" xfId="527"/>
    <cellStyle name="Dane wejściowe" xfId="528"/>
    <cellStyle name="Dane wyj?ciowe" xfId="529"/>
    <cellStyle name="Dane wyjściowe" xfId="530"/>
    <cellStyle name="Dobre" xfId="531"/>
    <cellStyle name="Emphasis 1" xfId="532"/>
    <cellStyle name="Emphasis 1 10" xfId="533"/>
    <cellStyle name="Emphasis 1 11" xfId="534"/>
    <cellStyle name="Emphasis 1 2" xfId="535"/>
    <cellStyle name="Emphasis 1 2 2" xfId="536"/>
    <cellStyle name="Emphasis 1 2 2 2" xfId="537"/>
    <cellStyle name="Emphasis 1 3" xfId="538"/>
    <cellStyle name="Emphasis 1 4" xfId="539"/>
    <cellStyle name="Emphasis 1 5" xfId="540"/>
    <cellStyle name="Emphasis 1 6" xfId="541"/>
    <cellStyle name="Emphasis 1 7" xfId="542"/>
    <cellStyle name="Emphasis 1 8" xfId="543"/>
    <cellStyle name="Emphasis 1 9" xfId="544"/>
    <cellStyle name="Emphasis 2" xfId="545"/>
    <cellStyle name="Emphasis 2 10" xfId="546"/>
    <cellStyle name="Emphasis 2 11" xfId="547"/>
    <cellStyle name="Emphasis 2 2" xfId="548"/>
    <cellStyle name="Emphasis 2 2 2" xfId="549"/>
    <cellStyle name="Emphasis 2 2 2 2" xfId="550"/>
    <cellStyle name="Emphasis 2 3" xfId="551"/>
    <cellStyle name="Emphasis 2 4" xfId="552"/>
    <cellStyle name="Emphasis 2 5" xfId="553"/>
    <cellStyle name="Emphasis 2 6" xfId="554"/>
    <cellStyle name="Emphasis 2 7" xfId="555"/>
    <cellStyle name="Emphasis 2 8" xfId="556"/>
    <cellStyle name="Emphasis 2 9" xfId="557"/>
    <cellStyle name="Emphasis 3" xfId="558"/>
    <cellStyle name="Encabezado 1" xfId="1581" builtinId="16" customBuiltin="1"/>
    <cellStyle name="Encabezado 4" xfId="559" builtinId="19" customBuiltin="1"/>
    <cellStyle name="Encabezado 4 2" xfId="560"/>
    <cellStyle name="Encabezado 4 2 2" xfId="561"/>
    <cellStyle name="Encabezado 4 2 3" xfId="562"/>
    <cellStyle name="Encabezado 4 2 4" xfId="563"/>
    <cellStyle name="Encabezado 4 2 5" xfId="564"/>
    <cellStyle name="Encabezado 4 2 6" xfId="565"/>
    <cellStyle name="Encabezado 4 3" xfId="566"/>
    <cellStyle name="Encabezado 4 3 2" xfId="567"/>
    <cellStyle name="Encabezado 4 3 3" xfId="568"/>
    <cellStyle name="Encabezado 4 3 4" xfId="569"/>
    <cellStyle name="Encabezado 4 3 5" xfId="570"/>
    <cellStyle name="Encabezado 4 4" xfId="571"/>
    <cellStyle name="Encabezado 4 4 2" xfId="572"/>
    <cellStyle name="Encabezado 4 4 3" xfId="573"/>
    <cellStyle name="Encabezado 4 4 4" xfId="574"/>
    <cellStyle name="Encabezado 4 4 5" xfId="575"/>
    <cellStyle name="Encabezado 4 5" xfId="576"/>
    <cellStyle name="Encabezado 4 5 2" xfId="577"/>
    <cellStyle name="Encabezado 4 5 3" xfId="578"/>
    <cellStyle name="Encabezado 4 5 4" xfId="579"/>
    <cellStyle name="Encabezado 4 5 5" xfId="580"/>
    <cellStyle name="Encabezado 4 6" xfId="581"/>
    <cellStyle name="Encabezado 4 7" xfId="582"/>
    <cellStyle name="Encabezado 4 8" xfId="583"/>
    <cellStyle name="Encabezado 4 9" xfId="584"/>
    <cellStyle name="Énfasis1" xfId="585" builtinId="29" customBuiltin="1"/>
    <cellStyle name="Énfasis1 2" xfId="586"/>
    <cellStyle name="Énfasis1 2 2" xfId="587"/>
    <cellStyle name="Énfasis1 2 3" xfId="588"/>
    <cellStyle name="Énfasis1 2 4" xfId="589"/>
    <cellStyle name="Énfasis1 2 5" xfId="590"/>
    <cellStyle name="Énfasis1 2 6" xfId="591"/>
    <cellStyle name="Énfasis1 3" xfId="592"/>
    <cellStyle name="Énfasis1 3 2" xfId="593"/>
    <cellStyle name="Énfasis1 3 3" xfId="594"/>
    <cellStyle name="Énfasis1 3 4" xfId="595"/>
    <cellStyle name="Énfasis1 3 5" xfId="596"/>
    <cellStyle name="Énfasis1 4" xfId="597"/>
    <cellStyle name="Énfasis1 4 2" xfId="598"/>
    <cellStyle name="Énfasis1 4 3" xfId="599"/>
    <cellStyle name="Énfasis1 4 4" xfId="600"/>
    <cellStyle name="Énfasis1 4 5" xfId="601"/>
    <cellStyle name="Énfasis1 5" xfId="602"/>
    <cellStyle name="Énfasis1 5 2" xfId="603"/>
    <cellStyle name="Énfasis1 5 3" xfId="604"/>
    <cellStyle name="Énfasis1 5 4" xfId="605"/>
    <cellStyle name="Énfasis1 5 5" xfId="606"/>
    <cellStyle name="Énfasis1 6" xfId="607"/>
    <cellStyle name="Énfasis1 7" xfId="608"/>
    <cellStyle name="Énfasis1 8" xfId="609"/>
    <cellStyle name="Énfasis1 9" xfId="610"/>
    <cellStyle name="Énfasis2" xfId="611" builtinId="33" customBuiltin="1"/>
    <cellStyle name="Énfasis2 2" xfId="612"/>
    <cellStyle name="Énfasis2 2 2" xfId="613"/>
    <cellStyle name="Énfasis2 2 3" xfId="614"/>
    <cellStyle name="Énfasis2 2 4" xfId="615"/>
    <cellStyle name="Énfasis2 2 5" xfId="616"/>
    <cellStyle name="Énfasis2 2 6" xfId="617"/>
    <cellStyle name="Énfasis2 3" xfId="618"/>
    <cellStyle name="Énfasis2 3 2" xfId="619"/>
    <cellStyle name="Énfasis2 3 3" xfId="620"/>
    <cellStyle name="Énfasis2 3 4" xfId="621"/>
    <cellStyle name="Énfasis2 3 5" xfId="622"/>
    <cellStyle name="Énfasis2 4" xfId="623"/>
    <cellStyle name="Énfasis2 4 2" xfId="624"/>
    <cellStyle name="Énfasis2 4 3" xfId="625"/>
    <cellStyle name="Énfasis2 4 4" xfId="626"/>
    <cellStyle name="Énfasis2 4 5" xfId="627"/>
    <cellStyle name="Énfasis2 5" xfId="628"/>
    <cellStyle name="Énfasis2 5 2" xfId="629"/>
    <cellStyle name="Énfasis2 5 3" xfId="630"/>
    <cellStyle name="Énfasis2 5 4" xfId="631"/>
    <cellStyle name="Énfasis2 5 5" xfId="632"/>
    <cellStyle name="Énfasis2 6" xfId="633"/>
    <cellStyle name="Énfasis2 7" xfId="634"/>
    <cellStyle name="Énfasis2 8" xfId="635"/>
    <cellStyle name="Énfasis2 9" xfId="636"/>
    <cellStyle name="Énfasis3" xfId="637" builtinId="37" customBuiltin="1"/>
    <cellStyle name="Énfasis3 2" xfId="638"/>
    <cellStyle name="Énfasis3 2 2" xfId="639"/>
    <cellStyle name="Énfasis3 2 3" xfId="640"/>
    <cellStyle name="Énfasis3 2 4" xfId="641"/>
    <cellStyle name="Énfasis3 2 5" xfId="642"/>
    <cellStyle name="Énfasis3 2 6" xfId="643"/>
    <cellStyle name="Énfasis3 3" xfId="644"/>
    <cellStyle name="Énfasis3 3 2" xfId="645"/>
    <cellStyle name="Énfasis3 3 3" xfId="646"/>
    <cellStyle name="Énfasis3 3 4" xfId="647"/>
    <cellStyle name="Énfasis3 3 5" xfId="648"/>
    <cellStyle name="Énfasis3 4" xfId="649"/>
    <cellStyle name="Énfasis3 4 2" xfId="650"/>
    <cellStyle name="Énfasis3 4 3" xfId="651"/>
    <cellStyle name="Énfasis3 4 4" xfId="652"/>
    <cellStyle name="Énfasis3 4 5" xfId="653"/>
    <cellStyle name="Énfasis3 5" xfId="654"/>
    <cellStyle name="Énfasis3 5 2" xfId="655"/>
    <cellStyle name="Énfasis3 5 3" xfId="656"/>
    <cellStyle name="Énfasis3 5 4" xfId="657"/>
    <cellStyle name="Énfasis3 5 5" xfId="658"/>
    <cellStyle name="Énfasis3 6" xfId="659"/>
    <cellStyle name="Énfasis3 6 2" xfId="660"/>
    <cellStyle name="Énfasis3 7" xfId="661"/>
    <cellStyle name="Énfasis3 8" xfId="662"/>
    <cellStyle name="Énfasis3 9" xfId="663"/>
    <cellStyle name="Énfasis4" xfId="664" builtinId="41" customBuiltin="1"/>
    <cellStyle name="Énfasis4 2" xfId="665"/>
    <cellStyle name="Énfasis4 2 2" xfId="666"/>
    <cellStyle name="Énfasis4 2 3" xfId="667"/>
    <cellStyle name="Énfasis4 2 4" xfId="668"/>
    <cellStyle name="Énfasis4 2 5" xfId="669"/>
    <cellStyle name="Énfasis4 2 6" xfId="670"/>
    <cellStyle name="Énfasis4 3" xfId="671"/>
    <cellStyle name="Énfasis4 3 2" xfId="672"/>
    <cellStyle name="Énfasis4 3 3" xfId="673"/>
    <cellStyle name="Énfasis4 3 4" xfId="674"/>
    <cellStyle name="Énfasis4 3 5" xfId="675"/>
    <cellStyle name="Énfasis4 4" xfId="676"/>
    <cellStyle name="Énfasis4 4 2" xfId="677"/>
    <cellStyle name="Énfasis4 4 3" xfId="678"/>
    <cellStyle name="Énfasis4 4 4" xfId="679"/>
    <cellStyle name="Énfasis4 4 5" xfId="680"/>
    <cellStyle name="Énfasis4 5" xfId="681"/>
    <cellStyle name="Énfasis4 5 2" xfId="682"/>
    <cellStyle name="Énfasis4 5 3" xfId="683"/>
    <cellStyle name="Énfasis4 5 4" xfId="684"/>
    <cellStyle name="Énfasis4 5 5" xfId="685"/>
    <cellStyle name="Énfasis4 6" xfId="686"/>
    <cellStyle name="Énfasis4 6 2" xfId="687"/>
    <cellStyle name="Énfasis4 7" xfId="688"/>
    <cellStyle name="Énfasis4 8" xfId="689"/>
    <cellStyle name="Énfasis4 9" xfId="690"/>
    <cellStyle name="Énfasis5" xfId="691" builtinId="45" customBuiltin="1"/>
    <cellStyle name="Énfasis5 2" xfId="692"/>
    <cellStyle name="Énfasis5 2 2" xfId="693"/>
    <cellStyle name="Énfasis5 2 3" xfId="694"/>
    <cellStyle name="Énfasis5 2 4" xfId="695"/>
    <cellStyle name="Énfasis5 2 5" xfId="696"/>
    <cellStyle name="Énfasis5 2 6" xfId="697"/>
    <cellStyle name="Énfasis5 3" xfId="698"/>
    <cellStyle name="Énfasis5 3 2" xfId="699"/>
    <cellStyle name="Énfasis5 3 3" xfId="700"/>
    <cellStyle name="Énfasis5 3 4" xfId="701"/>
    <cellStyle name="Énfasis5 3 5" xfId="702"/>
    <cellStyle name="Énfasis5 4" xfId="703"/>
    <cellStyle name="Énfasis5 4 2" xfId="704"/>
    <cellStyle name="Énfasis5 4 3" xfId="705"/>
    <cellStyle name="Énfasis5 4 4" xfId="706"/>
    <cellStyle name="Énfasis5 4 5" xfId="707"/>
    <cellStyle name="Énfasis5 5" xfId="708"/>
    <cellStyle name="Énfasis5 5 2" xfId="709"/>
    <cellStyle name="Énfasis5 5 3" xfId="710"/>
    <cellStyle name="Énfasis5 5 4" xfId="711"/>
    <cellStyle name="Énfasis5 5 5" xfId="712"/>
    <cellStyle name="Énfasis5 6" xfId="713"/>
    <cellStyle name="Énfasis5 6 2" xfId="714"/>
    <cellStyle name="Énfasis5 7" xfId="715"/>
    <cellStyle name="Énfasis5 8" xfId="716"/>
    <cellStyle name="Énfasis5 9" xfId="717"/>
    <cellStyle name="Énfasis6" xfId="718" builtinId="49" customBuiltin="1"/>
    <cellStyle name="Énfasis6 2" xfId="719"/>
    <cellStyle name="Énfasis6 2 2" xfId="720"/>
    <cellStyle name="Énfasis6 2 3" xfId="721"/>
    <cellStyle name="Énfasis6 2 4" xfId="722"/>
    <cellStyle name="Énfasis6 2 5" xfId="723"/>
    <cellStyle name="Énfasis6 2 6" xfId="724"/>
    <cellStyle name="Énfasis6 3" xfId="725"/>
    <cellStyle name="Énfasis6 3 2" xfId="726"/>
    <cellStyle name="Énfasis6 3 3" xfId="727"/>
    <cellStyle name="Énfasis6 3 4" xfId="728"/>
    <cellStyle name="Énfasis6 3 5" xfId="729"/>
    <cellStyle name="Énfasis6 4" xfId="730"/>
    <cellStyle name="Énfasis6 4 2" xfId="731"/>
    <cellStyle name="Énfasis6 4 3" xfId="732"/>
    <cellStyle name="Énfasis6 4 4" xfId="733"/>
    <cellStyle name="Énfasis6 4 5" xfId="734"/>
    <cellStyle name="Énfasis6 5" xfId="735"/>
    <cellStyle name="Énfasis6 5 2" xfId="736"/>
    <cellStyle name="Énfasis6 5 3" xfId="737"/>
    <cellStyle name="Énfasis6 5 4" xfId="738"/>
    <cellStyle name="Énfasis6 5 5" xfId="739"/>
    <cellStyle name="Énfasis6 6" xfId="740"/>
    <cellStyle name="Énfasis6 6 2" xfId="741"/>
    <cellStyle name="Énfasis6 7" xfId="742"/>
    <cellStyle name="Énfasis6 8" xfId="743"/>
    <cellStyle name="Énfasis6 9" xfId="744"/>
    <cellStyle name="Entrada" xfId="745" builtinId="20" customBuiltin="1"/>
    <cellStyle name="Entrada 2" xfId="746"/>
    <cellStyle name="Entrada 2 2" xfId="747"/>
    <cellStyle name="Entrada 2 3" xfId="748"/>
    <cellStyle name="Entrada 2 4" xfId="749"/>
    <cellStyle name="Entrada 2 5" xfId="750"/>
    <cellStyle name="Entrada 2 6" xfId="751"/>
    <cellStyle name="Entrada 3" xfId="752"/>
    <cellStyle name="Entrada 3 2" xfId="753"/>
    <cellStyle name="Entrada 3 3" xfId="754"/>
    <cellStyle name="Entrada 3 4" xfId="755"/>
    <cellStyle name="Entrada 3 5" xfId="756"/>
    <cellStyle name="Entrada 4" xfId="757"/>
    <cellStyle name="Entrada 4 2" xfId="758"/>
    <cellStyle name="Entrada 4 3" xfId="759"/>
    <cellStyle name="Entrada 4 4" xfId="760"/>
    <cellStyle name="Entrada 4 5" xfId="761"/>
    <cellStyle name="Entrada 5" xfId="762"/>
    <cellStyle name="Entrada 5 2" xfId="763"/>
    <cellStyle name="Entrada 5 3" xfId="764"/>
    <cellStyle name="Entrada 5 4" xfId="765"/>
    <cellStyle name="Entrada 5 5" xfId="766"/>
    <cellStyle name="Entrada 6" xfId="767"/>
    <cellStyle name="Entrada 6 2" xfId="768"/>
    <cellStyle name="Entrada 7" xfId="769"/>
    <cellStyle name="Entrada 8" xfId="770"/>
    <cellStyle name="Entrada 9" xfId="771"/>
    <cellStyle name="Euro" xfId="772"/>
    <cellStyle name="Explanatory Text" xfId="773"/>
    <cellStyle name="Good" xfId="774"/>
    <cellStyle name="Good 2" xfId="775"/>
    <cellStyle name="Good 3" xfId="776"/>
    <cellStyle name="Good 4" xfId="777"/>
    <cellStyle name="Good 5" xfId="778"/>
    <cellStyle name="Heading 1" xfId="779"/>
    <cellStyle name="Heading 2" xfId="780"/>
    <cellStyle name="Heading 3" xfId="781"/>
    <cellStyle name="Heading 4" xfId="782"/>
    <cellStyle name="Heading 4 2" xfId="783"/>
    <cellStyle name="Heading 4 3" xfId="784"/>
    <cellStyle name="Heading 4 4" xfId="785"/>
    <cellStyle name="Heading 4 5" xfId="786"/>
    <cellStyle name="Hipervínculo" xfId="1704" builtinId="8"/>
    <cellStyle name="Incorrecto" xfId="787" builtinId="27" customBuiltin="1"/>
    <cellStyle name="Incorrecto 2" xfId="788"/>
    <cellStyle name="Incorrecto 2 2" xfId="789"/>
    <cellStyle name="Incorrecto 2 3" xfId="790"/>
    <cellStyle name="Incorrecto 2 4" xfId="791"/>
    <cellStyle name="Incorrecto 2 5" xfId="792"/>
    <cellStyle name="Incorrecto 2 6" xfId="793"/>
    <cellStyle name="Incorrecto 3" xfId="794"/>
    <cellStyle name="Incorrecto 3 2" xfId="795"/>
    <cellStyle name="Incorrecto 3 3" xfId="796"/>
    <cellStyle name="Incorrecto 3 4" xfId="797"/>
    <cellStyle name="Incorrecto 3 5" xfId="798"/>
    <cellStyle name="Incorrecto 4" xfId="799"/>
    <cellStyle name="Incorrecto 4 2" xfId="800"/>
    <cellStyle name="Incorrecto 4 3" xfId="801"/>
    <cellStyle name="Incorrecto 4 4" xfId="802"/>
    <cellStyle name="Incorrecto 4 5" xfId="803"/>
    <cellStyle name="Incorrecto 5" xfId="804"/>
    <cellStyle name="Incorrecto 5 2" xfId="805"/>
    <cellStyle name="Incorrecto 5 3" xfId="806"/>
    <cellStyle name="Incorrecto 5 4" xfId="807"/>
    <cellStyle name="Incorrecto 5 5" xfId="808"/>
    <cellStyle name="Incorrecto 6" xfId="809"/>
    <cellStyle name="Incorrecto 6 2" xfId="810"/>
    <cellStyle name="Incorrecto 7" xfId="811"/>
    <cellStyle name="Incorrecto 8" xfId="812"/>
    <cellStyle name="Incorrecto 9" xfId="813"/>
    <cellStyle name="Input" xfId="814"/>
    <cellStyle name="Input 2" xfId="815"/>
    <cellStyle name="Input 3" xfId="816"/>
    <cellStyle name="Input 4" xfId="817"/>
    <cellStyle name="Input 5" xfId="818"/>
    <cellStyle name="Input_valor justo.junio2010" xfId="819"/>
    <cellStyle name="Komórka po??czona" xfId="820"/>
    <cellStyle name="Komórka połączona" xfId="821"/>
    <cellStyle name="Komórka zaznaczona" xfId="822"/>
    <cellStyle name="Linked Cell" xfId="823"/>
    <cellStyle name="Linked Cell 2" xfId="824"/>
    <cellStyle name="Linked Cell 3" xfId="825"/>
    <cellStyle name="Linked Cell 4" xfId="826"/>
    <cellStyle name="Linked Cell 5" xfId="827"/>
    <cellStyle name="Millares" xfId="828" builtinId="3"/>
    <cellStyle name="Millares [0]" xfId="1700" builtinId="6"/>
    <cellStyle name="Millares [0] 2" xfId="1703"/>
    <cellStyle name="Millares [0] 2 2" xfId="829"/>
    <cellStyle name="Millares [0] 3" xfId="1705"/>
    <cellStyle name="Millares 2" xfId="830"/>
    <cellStyle name="Millares 3" xfId="831"/>
    <cellStyle name="Millares 3 2" xfId="832"/>
    <cellStyle name="Millares 4" xfId="833"/>
    <cellStyle name="Millares 5" xfId="834"/>
    <cellStyle name="Millares 6" xfId="1702"/>
    <cellStyle name="Millares 7" xfId="835"/>
    <cellStyle name="Millares_Analisis Razonado diciemb 08" xfId="836"/>
    <cellStyle name="Moneda [0] 2 2" xfId="837"/>
    <cellStyle name="Moneda 2" xfId="838"/>
    <cellStyle name="Moneda 2 2" xfId="839"/>
    <cellStyle name="Moneda 2 3" xfId="840"/>
    <cellStyle name="Nag?ówek 1" xfId="841"/>
    <cellStyle name="Nag?ówek 2" xfId="842"/>
    <cellStyle name="Nag?ówek 3" xfId="843"/>
    <cellStyle name="Nag?ówek 4" xfId="844"/>
    <cellStyle name="Nagłówek 1" xfId="845"/>
    <cellStyle name="Nagłówek 2" xfId="846"/>
    <cellStyle name="Nagłówek 3" xfId="847"/>
    <cellStyle name="Nagłówek 4" xfId="848"/>
    <cellStyle name="Neutral" xfId="849" builtinId="28" customBuiltin="1"/>
    <cellStyle name="Neutral 2" xfId="850"/>
    <cellStyle name="Neutral 2 2" xfId="851"/>
    <cellStyle name="Neutral 2 3" xfId="852"/>
    <cellStyle name="Neutral 2 4" xfId="853"/>
    <cellStyle name="Neutral 2 5" xfId="854"/>
    <cellStyle name="Neutral 2 6" xfId="855"/>
    <cellStyle name="Neutral 3" xfId="856"/>
    <cellStyle name="Neutral 3 2" xfId="857"/>
    <cellStyle name="Neutral 3 3" xfId="858"/>
    <cellStyle name="Neutral 3 4" xfId="859"/>
    <cellStyle name="Neutral 3 5" xfId="860"/>
    <cellStyle name="Neutral 4" xfId="861"/>
    <cellStyle name="Neutral 4 2" xfId="862"/>
    <cellStyle name="Neutral 4 3" xfId="863"/>
    <cellStyle name="Neutral 4 4" xfId="864"/>
    <cellStyle name="Neutral 4 5" xfId="865"/>
    <cellStyle name="Neutral 5" xfId="866"/>
    <cellStyle name="Neutral 5 2" xfId="867"/>
    <cellStyle name="Neutral 5 3" xfId="868"/>
    <cellStyle name="Neutral 5 4" xfId="869"/>
    <cellStyle name="Neutral 5 5" xfId="870"/>
    <cellStyle name="Neutral 6" xfId="871"/>
    <cellStyle name="Neutral 6 2" xfId="872"/>
    <cellStyle name="Neutral 7" xfId="873"/>
    <cellStyle name="Neutral 8" xfId="874"/>
    <cellStyle name="Neutral 9" xfId="875"/>
    <cellStyle name="Neutralne" xfId="876"/>
    <cellStyle name="Normal" xfId="0" builtinId="0"/>
    <cellStyle name="Normal 10" xfId="877"/>
    <cellStyle name="Normal 10 2" xfId="878"/>
    <cellStyle name="Normal 11" xfId="879"/>
    <cellStyle name="Normal 11 2" xfId="880"/>
    <cellStyle name="Normal 12" xfId="881"/>
    <cellStyle name="Normal 12 2" xfId="882"/>
    <cellStyle name="Normal 13" xfId="883"/>
    <cellStyle name="Normal 13 2" xfId="884"/>
    <cellStyle name="Normal 14" xfId="885"/>
    <cellStyle name="Normal 15" xfId="886"/>
    <cellStyle name="Normal 15 2" xfId="887"/>
    <cellStyle name="Normal 16" xfId="1698"/>
    <cellStyle name="Normal 17" xfId="888"/>
    <cellStyle name="Normal 18" xfId="1697"/>
    <cellStyle name="Normal 2" xfId="889"/>
    <cellStyle name="Normal 2 10" xfId="890"/>
    <cellStyle name="Normal 2 11" xfId="891"/>
    <cellStyle name="Normal 2 12" xfId="892"/>
    <cellStyle name="Normal 2 13" xfId="1701"/>
    <cellStyle name="Normal 2 2" xfId="893"/>
    <cellStyle name="Normal 2 2 2" xfId="894"/>
    <cellStyle name="Normal 2 3" xfId="895"/>
    <cellStyle name="Normal 2 4" xfId="896"/>
    <cellStyle name="Normal 2 5" xfId="897"/>
    <cellStyle name="Normal 2 6" xfId="898"/>
    <cellStyle name="Normal 2 7" xfId="899"/>
    <cellStyle name="Normal 2 8" xfId="900"/>
    <cellStyle name="Normal 2 9" xfId="901"/>
    <cellStyle name="Normal 2_Combinación de negocios - AA-IAMv3" xfId="902"/>
    <cellStyle name="Normal 3" xfId="903"/>
    <cellStyle name="Normal 3 2" xfId="904"/>
    <cellStyle name="Normal 4" xfId="905"/>
    <cellStyle name="Normal 5" xfId="906"/>
    <cellStyle name="Normal 6" xfId="907"/>
    <cellStyle name="Normal 6 2" xfId="908"/>
    <cellStyle name="Normal 7" xfId="909"/>
    <cellStyle name="Normal 8" xfId="910"/>
    <cellStyle name="Normal 9" xfId="911"/>
    <cellStyle name="Notas" xfId="912" builtinId="10" customBuiltin="1"/>
    <cellStyle name="Notas 10" xfId="913"/>
    <cellStyle name="Notas 2" xfId="914"/>
    <cellStyle name="Notas 2 2" xfId="915"/>
    <cellStyle name="Notas 2 3" xfId="916"/>
    <cellStyle name="Notas 2 4" xfId="917"/>
    <cellStyle name="Notas 2 5" xfId="918"/>
    <cellStyle name="Notas 2 6" xfId="919"/>
    <cellStyle name="Notas 3" xfId="920"/>
    <cellStyle name="Notas 3 2" xfId="921"/>
    <cellStyle name="Notas 3 3" xfId="922"/>
    <cellStyle name="Notas 3 4" xfId="923"/>
    <cellStyle name="Notas 3 5" xfId="924"/>
    <cellStyle name="Notas 4" xfId="925"/>
    <cellStyle name="Notas 4 2" xfId="926"/>
    <cellStyle name="Notas 4 3" xfId="927"/>
    <cellStyle name="Notas 4 4" xfId="928"/>
    <cellStyle name="Notas 4 5" xfId="929"/>
    <cellStyle name="Notas 5" xfId="930"/>
    <cellStyle name="Notas 5 2" xfId="931"/>
    <cellStyle name="Notas 5 3" xfId="932"/>
    <cellStyle name="Notas 5 4" xfId="933"/>
    <cellStyle name="Notas 5 5" xfId="934"/>
    <cellStyle name="Notas 6" xfId="935"/>
    <cellStyle name="Notas 6 2" xfId="936"/>
    <cellStyle name="Notas 7" xfId="937"/>
    <cellStyle name="Notas 8" xfId="938"/>
    <cellStyle name="Notas 9" xfId="939"/>
    <cellStyle name="Note" xfId="940"/>
    <cellStyle name="Note 2" xfId="941"/>
    <cellStyle name="Note 3" xfId="942"/>
    <cellStyle name="Note 4" xfId="943"/>
    <cellStyle name="Note 5" xfId="944"/>
    <cellStyle name="Note 6" xfId="945"/>
    <cellStyle name="Note 7" xfId="946"/>
    <cellStyle name="Note 8" xfId="947"/>
    <cellStyle name="Obliczenia" xfId="948"/>
    <cellStyle name="Output" xfId="949"/>
    <cellStyle name="Porcentaje" xfId="950" builtinId="5"/>
    <cellStyle name="Porcentaje 2" xfId="1699"/>
    <cellStyle name="Porcentual 10" xfId="951"/>
    <cellStyle name="Porcentual 10 2" xfId="952"/>
    <cellStyle name="Porcentual 11" xfId="953"/>
    <cellStyle name="Porcentual 11 2" xfId="954"/>
    <cellStyle name="Porcentual 2" xfId="955"/>
    <cellStyle name="Porcentual 2 2" xfId="956"/>
    <cellStyle name="Porcentual 3" xfId="957"/>
    <cellStyle name="Porcentual 4" xfId="958"/>
    <cellStyle name="Porcentual 4 2" xfId="959"/>
    <cellStyle name="Porcentual 5" xfId="960"/>
    <cellStyle name="Porcentual 5 2" xfId="961"/>
    <cellStyle name="Porcentual 6" xfId="962"/>
    <cellStyle name="Porcentual 7" xfId="963"/>
    <cellStyle name="Porcentual 7 2" xfId="964"/>
    <cellStyle name="Porcentual 8" xfId="965"/>
    <cellStyle name="Porcentual 8 2" xfId="966"/>
    <cellStyle name="Porcentual 9" xfId="967"/>
    <cellStyle name="Salida" xfId="968" builtinId="21" customBuiltin="1"/>
    <cellStyle name="Salida 2" xfId="969"/>
    <cellStyle name="Salida 2 2" xfId="970"/>
    <cellStyle name="Salida 2 3" xfId="971"/>
    <cellStyle name="Salida 2 4" xfId="972"/>
    <cellStyle name="Salida 2 5" xfId="973"/>
    <cellStyle name="Salida 2 6" xfId="974"/>
    <cellStyle name="Salida 3" xfId="975"/>
    <cellStyle name="Salida 3 2" xfId="976"/>
    <cellStyle name="Salida 3 3" xfId="977"/>
    <cellStyle name="Salida 3 4" xfId="978"/>
    <cellStyle name="Salida 3 5" xfId="979"/>
    <cellStyle name="Salida 4" xfId="980"/>
    <cellStyle name="Salida 4 2" xfId="981"/>
    <cellStyle name="Salida 4 3" xfId="982"/>
    <cellStyle name="Salida 4 4" xfId="983"/>
    <cellStyle name="Salida 4 5" xfId="984"/>
    <cellStyle name="Salida 5" xfId="985"/>
    <cellStyle name="Salida 5 2" xfId="986"/>
    <cellStyle name="Salida 5 3" xfId="987"/>
    <cellStyle name="Salida 5 4" xfId="988"/>
    <cellStyle name="Salida 5 5" xfId="989"/>
    <cellStyle name="Salida 6" xfId="990"/>
    <cellStyle name="Salida 6 2" xfId="991"/>
    <cellStyle name="Salida 7" xfId="992"/>
    <cellStyle name="Salida 8" xfId="993"/>
    <cellStyle name="Salida 9" xfId="994"/>
    <cellStyle name="SAPBEXaggData" xfId="995"/>
    <cellStyle name="SAPBEXaggData 10" xfId="996"/>
    <cellStyle name="SAPBEXaggData 11" xfId="997"/>
    <cellStyle name="SAPBEXaggData 2" xfId="998"/>
    <cellStyle name="SAPBEXaggData 2 2" xfId="999"/>
    <cellStyle name="SAPBEXaggData 2 2 2" xfId="1000"/>
    <cellStyle name="SAPBEXaggData 3" xfId="1001"/>
    <cellStyle name="SAPBEXaggData 4" xfId="1002"/>
    <cellStyle name="SAPBEXaggData 5" xfId="1003"/>
    <cellStyle name="SAPBEXaggData 6" xfId="1004"/>
    <cellStyle name="SAPBEXaggData 7" xfId="1005"/>
    <cellStyle name="SAPBEXaggData 8" xfId="1006"/>
    <cellStyle name="SAPBEXaggData 9" xfId="1007"/>
    <cellStyle name="SAPBEXaggData_gxaccion, 68" xfId="1008"/>
    <cellStyle name="SAPBEXaggDataEmph" xfId="1009"/>
    <cellStyle name="SAPBEXaggDataEmph 10" xfId="1010"/>
    <cellStyle name="SAPBEXaggDataEmph 11" xfId="1011"/>
    <cellStyle name="SAPBEXaggDataEmph 2" xfId="1012"/>
    <cellStyle name="SAPBEXaggDataEmph 2 2" xfId="1013"/>
    <cellStyle name="SAPBEXaggDataEmph 2 2 2" xfId="1014"/>
    <cellStyle name="SAPBEXaggDataEmph 3" xfId="1015"/>
    <cellStyle name="SAPBEXaggDataEmph 4" xfId="1016"/>
    <cellStyle name="SAPBEXaggDataEmph 5" xfId="1017"/>
    <cellStyle name="SAPBEXaggDataEmph 6" xfId="1018"/>
    <cellStyle name="SAPBEXaggDataEmph 7" xfId="1019"/>
    <cellStyle name="SAPBEXaggDataEmph 8" xfId="1020"/>
    <cellStyle name="SAPBEXaggDataEmph 9" xfId="1021"/>
    <cellStyle name="SAPBEXaggDataEmph_valor justo.junio2010" xfId="1022"/>
    <cellStyle name="SAPBEXaggItem" xfId="1023"/>
    <cellStyle name="SAPBEXaggItem 10" xfId="1024"/>
    <cellStyle name="SAPBEXaggItem 11" xfId="1025"/>
    <cellStyle name="SAPBEXaggItem 2" xfId="1026"/>
    <cellStyle name="SAPBEXaggItem 2 2" xfId="1027"/>
    <cellStyle name="SAPBEXaggItem 2 2 2" xfId="1028"/>
    <cellStyle name="SAPBEXaggItem 3" xfId="1029"/>
    <cellStyle name="SAPBEXaggItem 4" xfId="1030"/>
    <cellStyle name="SAPBEXaggItem 5" xfId="1031"/>
    <cellStyle name="SAPBEXaggItem 6" xfId="1032"/>
    <cellStyle name="SAPBEXaggItem 7" xfId="1033"/>
    <cellStyle name="SAPBEXaggItem 8" xfId="1034"/>
    <cellStyle name="SAPBEXaggItem 9" xfId="1035"/>
    <cellStyle name="SAPBEXaggItem_gxaccion, 68" xfId="1036"/>
    <cellStyle name="SAPBEXaggItemX" xfId="1037"/>
    <cellStyle name="SAPBEXaggItemX 10" xfId="1038"/>
    <cellStyle name="SAPBEXaggItemX 11" xfId="1039"/>
    <cellStyle name="SAPBEXaggItemX 2" xfId="1040"/>
    <cellStyle name="SAPBEXaggItemX 2 2" xfId="1041"/>
    <cellStyle name="SAPBEXaggItemX 2 2 2" xfId="1042"/>
    <cellStyle name="SAPBEXaggItemX 3" xfId="1043"/>
    <cellStyle name="SAPBEXaggItemX 4" xfId="1044"/>
    <cellStyle name="SAPBEXaggItemX 5" xfId="1045"/>
    <cellStyle name="SAPBEXaggItemX 6" xfId="1046"/>
    <cellStyle name="SAPBEXaggItemX 7" xfId="1047"/>
    <cellStyle name="SAPBEXaggItemX 8" xfId="1048"/>
    <cellStyle name="SAPBEXaggItemX 9" xfId="1049"/>
    <cellStyle name="SAPBEXaggItemX_valor justo.junio2010" xfId="1050"/>
    <cellStyle name="SAPBEXchaText" xfId="1051"/>
    <cellStyle name="SAPBEXchaText 10" xfId="1052"/>
    <cellStyle name="SAPBEXchaText 11" xfId="1053"/>
    <cellStyle name="SAPBEXchaText 2" xfId="1054"/>
    <cellStyle name="SAPBEXchaText 2 2" xfId="1055"/>
    <cellStyle name="SAPBEXchaText 2 2 2" xfId="1056"/>
    <cellStyle name="SAPBEXchaText 3" xfId="1057"/>
    <cellStyle name="SAPBEXchaText 4" xfId="1058"/>
    <cellStyle name="SAPBEXchaText 5" xfId="1059"/>
    <cellStyle name="SAPBEXchaText 6" xfId="1060"/>
    <cellStyle name="SAPBEXchaText 7" xfId="1061"/>
    <cellStyle name="SAPBEXchaText 8" xfId="1062"/>
    <cellStyle name="SAPBEXchaText 9" xfId="1063"/>
    <cellStyle name="SAPBEXchaText_gxaccion, 68" xfId="1064"/>
    <cellStyle name="SAPBEXexcBad7" xfId="1065"/>
    <cellStyle name="SAPBEXexcBad7 10" xfId="1066"/>
    <cellStyle name="SAPBEXexcBad7 11" xfId="1067"/>
    <cellStyle name="SAPBEXexcBad7 2" xfId="1068"/>
    <cellStyle name="SAPBEXexcBad7 2 2" xfId="1069"/>
    <cellStyle name="SAPBEXexcBad7 2 2 2" xfId="1070"/>
    <cellStyle name="SAPBEXexcBad7 3" xfId="1071"/>
    <cellStyle name="SAPBEXexcBad7 4" xfId="1072"/>
    <cellStyle name="SAPBEXexcBad7 5" xfId="1073"/>
    <cellStyle name="SAPBEXexcBad7 6" xfId="1074"/>
    <cellStyle name="SAPBEXexcBad7 7" xfId="1075"/>
    <cellStyle name="SAPBEXexcBad7 8" xfId="1076"/>
    <cellStyle name="SAPBEXexcBad7 9" xfId="1077"/>
    <cellStyle name="SAPBEXexcBad7_gxaccion, 68" xfId="1078"/>
    <cellStyle name="SAPBEXexcBad8" xfId="1079"/>
    <cellStyle name="SAPBEXexcBad8 10" xfId="1080"/>
    <cellStyle name="SAPBEXexcBad8 11" xfId="1081"/>
    <cellStyle name="SAPBEXexcBad8 2" xfId="1082"/>
    <cellStyle name="SAPBEXexcBad8 2 2" xfId="1083"/>
    <cellStyle name="SAPBEXexcBad8 2 2 2" xfId="1084"/>
    <cellStyle name="SAPBEXexcBad8 3" xfId="1085"/>
    <cellStyle name="SAPBEXexcBad8 4" xfId="1086"/>
    <cellStyle name="SAPBEXexcBad8 5" xfId="1087"/>
    <cellStyle name="SAPBEXexcBad8 6" xfId="1088"/>
    <cellStyle name="SAPBEXexcBad8 7" xfId="1089"/>
    <cellStyle name="SAPBEXexcBad8 8" xfId="1090"/>
    <cellStyle name="SAPBEXexcBad8 9" xfId="1091"/>
    <cellStyle name="SAPBEXexcBad8_gxaccion, 68" xfId="1092"/>
    <cellStyle name="SAPBEXexcBad9" xfId="1093"/>
    <cellStyle name="SAPBEXexcBad9 10" xfId="1094"/>
    <cellStyle name="SAPBEXexcBad9 11" xfId="1095"/>
    <cellStyle name="SAPBEXexcBad9 2" xfId="1096"/>
    <cellStyle name="SAPBEXexcBad9 2 2" xfId="1097"/>
    <cellStyle name="SAPBEXexcBad9 2 2 2" xfId="1098"/>
    <cellStyle name="SAPBEXexcBad9 3" xfId="1099"/>
    <cellStyle name="SAPBEXexcBad9 4" xfId="1100"/>
    <cellStyle name="SAPBEXexcBad9 5" xfId="1101"/>
    <cellStyle name="SAPBEXexcBad9 6" xfId="1102"/>
    <cellStyle name="SAPBEXexcBad9 7" xfId="1103"/>
    <cellStyle name="SAPBEXexcBad9 8" xfId="1104"/>
    <cellStyle name="SAPBEXexcBad9 9" xfId="1105"/>
    <cellStyle name="SAPBEXexcBad9_gxaccion, 68" xfId="1106"/>
    <cellStyle name="SAPBEXexcCritical4" xfId="1107"/>
    <cellStyle name="SAPBEXexcCritical4 10" xfId="1108"/>
    <cellStyle name="SAPBEXexcCritical4 11" xfId="1109"/>
    <cellStyle name="SAPBEXexcCritical4 2" xfId="1110"/>
    <cellStyle name="SAPBEXexcCritical4 2 2" xfId="1111"/>
    <cellStyle name="SAPBEXexcCritical4 2 2 2" xfId="1112"/>
    <cellStyle name="SAPBEXexcCritical4 3" xfId="1113"/>
    <cellStyle name="SAPBEXexcCritical4 4" xfId="1114"/>
    <cellStyle name="SAPBEXexcCritical4 5" xfId="1115"/>
    <cellStyle name="SAPBEXexcCritical4 6" xfId="1116"/>
    <cellStyle name="SAPBEXexcCritical4 7" xfId="1117"/>
    <cellStyle name="SAPBEXexcCritical4 8" xfId="1118"/>
    <cellStyle name="SAPBEXexcCritical4 9" xfId="1119"/>
    <cellStyle name="SAPBEXexcCritical4_gxaccion, 68" xfId="1120"/>
    <cellStyle name="SAPBEXexcCritical5" xfId="1121"/>
    <cellStyle name="SAPBEXexcCritical5 10" xfId="1122"/>
    <cellStyle name="SAPBEXexcCritical5 11" xfId="1123"/>
    <cellStyle name="SAPBEXexcCritical5 2" xfId="1124"/>
    <cellStyle name="SAPBEXexcCritical5 2 2" xfId="1125"/>
    <cellStyle name="SAPBEXexcCritical5 2 2 2" xfId="1126"/>
    <cellStyle name="SAPBEXexcCritical5 3" xfId="1127"/>
    <cellStyle name="SAPBEXexcCritical5 4" xfId="1128"/>
    <cellStyle name="SAPBEXexcCritical5 5" xfId="1129"/>
    <cellStyle name="SAPBEXexcCritical5 6" xfId="1130"/>
    <cellStyle name="SAPBEXexcCritical5 7" xfId="1131"/>
    <cellStyle name="SAPBEXexcCritical5 8" xfId="1132"/>
    <cellStyle name="SAPBEXexcCritical5 9" xfId="1133"/>
    <cellStyle name="SAPBEXexcCritical5_gxaccion, 68" xfId="1134"/>
    <cellStyle name="SAPBEXexcCritical6" xfId="1135"/>
    <cellStyle name="SAPBEXexcCritical6 10" xfId="1136"/>
    <cellStyle name="SAPBEXexcCritical6 11" xfId="1137"/>
    <cellStyle name="SAPBEXexcCritical6 2" xfId="1138"/>
    <cellStyle name="SAPBEXexcCritical6 2 2" xfId="1139"/>
    <cellStyle name="SAPBEXexcCritical6 2 2 2" xfId="1140"/>
    <cellStyle name="SAPBEXexcCritical6 3" xfId="1141"/>
    <cellStyle name="SAPBEXexcCritical6 4" xfId="1142"/>
    <cellStyle name="SAPBEXexcCritical6 5" xfId="1143"/>
    <cellStyle name="SAPBEXexcCritical6 6" xfId="1144"/>
    <cellStyle name="SAPBEXexcCritical6 7" xfId="1145"/>
    <cellStyle name="SAPBEXexcCritical6 8" xfId="1146"/>
    <cellStyle name="SAPBEXexcCritical6 9" xfId="1147"/>
    <cellStyle name="SAPBEXexcCritical6_gxaccion, 68" xfId="1148"/>
    <cellStyle name="SAPBEXexcGood1" xfId="1149"/>
    <cellStyle name="SAPBEXexcGood1 10" xfId="1150"/>
    <cellStyle name="SAPBEXexcGood1 11" xfId="1151"/>
    <cellStyle name="SAPBEXexcGood1 2" xfId="1152"/>
    <cellStyle name="SAPBEXexcGood1 2 2" xfId="1153"/>
    <cellStyle name="SAPBEXexcGood1 2 2 2" xfId="1154"/>
    <cellStyle name="SAPBEXexcGood1 3" xfId="1155"/>
    <cellStyle name="SAPBEXexcGood1 4" xfId="1156"/>
    <cellStyle name="SAPBEXexcGood1 5" xfId="1157"/>
    <cellStyle name="SAPBEXexcGood1 6" xfId="1158"/>
    <cellStyle name="SAPBEXexcGood1 7" xfId="1159"/>
    <cellStyle name="SAPBEXexcGood1 8" xfId="1160"/>
    <cellStyle name="SAPBEXexcGood1 9" xfId="1161"/>
    <cellStyle name="SAPBEXexcGood1_gxaccion, 68" xfId="1162"/>
    <cellStyle name="SAPBEXexcGood2" xfId="1163"/>
    <cellStyle name="SAPBEXexcGood2 10" xfId="1164"/>
    <cellStyle name="SAPBEXexcGood2 11" xfId="1165"/>
    <cellStyle name="SAPBEXexcGood2 2" xfId="1166"/>
    <cellStyle name="SAPBEXexcGood2 2 2" xfId="1167"/>
    <cellStyle name="SAPBEXexcGood2 2 2 2" xfId="1168"/>
    <cellStyle name="SAPBEXexcGood2 3" xfId="1169"/>
    <cellStyle name="SAPBEXexcGood2 4" xfId="1170"/>
    <cellStyle name="SAPBEXexcGood2 5" xfId="1171"/>
    <cellStyle name="SAPBEXexcGood2 6" xfId="1172"/>
    <cellStyle name="SAPBEXexcGood2 7" xfId="1173"/>
    <cellStyle name="SAPBEXexcGood2 8" xfId="1174"/>
    <cellStyle name="SAPBEXexcGood2 9" xfId="1175"/>
    <cellStyle name="SAPBEXexcGood2_gxaccion, 68" xfId="1176"/>
    <cellStyle name="SAPBEXexcGood3" xfId="1177"/>
    <cellStyle name="SAPBEXexcGood3 10" xfId="1178"/>
    <cellStyle name="SAPBEXexcGood3 11" xfId="1179"/>
    <cellStyle name="SAPBEXexcGood3 2" xfId="1180"/>
    <cellStyle name="SAPBEXexcGood3 2 2" xfId="1181"/>
    <cellStyle name="SAPBEXexcGood3 2 2 2" xfId="1182"/>
    <cellStyle name="SAPBEXexcGood3 3" xfId="1183"/>
    <cellStyle name="SAPBEXexcGood3 4" xfId="1184"/>
    <cellStyle name="SAPBEXexcGood3 5" xfId="1185"/>
    <cellStyle name="SAPBEXexcGood3 6" xfId="1186"/>
    <cellStyle name="SAPBEXexcGood3 7" xfId="1187"/>
    <cellStyle name="SAPBEXexcGood3 8" xfId="1188"/>
    <cellStyle name="SAPBEXexcGood3 9" xfId="1189"/>
    <cellStyle name="SAPBEXexcGood3_gxaccion, 68" xfId="1190"/>
    <cellStyle name="SAPBEXfilterDrill" xfId="1191"/>
    <cellStyle name="SAPBEXfilterDrill 10" xfId="1192"/>
    <cellStyle name="SAPBEXfilterDrill 11" xfId="1193"/>
    <cellStyle name="SAPBEXfilterDrill 2" xfId="1194"/>
    <cellStyle name="SAPBEXfilterDrill 2 2" xfId="1195"/>
    <cellStyle name="SAPBEXfilterDrill 2 2 2" xfId="1196"/>
    <cellStyle name="SAPBEXfilterDrill 3" xfId="1197"/>
    <cellStyle name="SAPBEXfilterDrill 4" xfId="1198"/>
    <cellStyle name="SAPBEXfilterDrill 5" xfId="1199"/>
    <cellStyle name="SAPBEXfilterDrill 6" xfId="1200"/>
    <cellStyle name="SAPBEXfilterDrill 7" xfId="1201"/>
    <cellStyle name="SAPBEXfilterDrill 8" xfId="1202"/>
    <cellStyle name="SAPBEXfilterDrill 9" xfId="1203"/>
    <cellStyle name="SAPBEXfilterDrill_gxaccion, 68" xfId="1204"/>
    <cellStyle name="SAPBEXfilterItem" xfId="1205"/>
    <cellStyle name="SAPBEXfilterItem 10" xfId="1206"/>
    <cellStyle name="SAPBEXfilterItem 11" xfId="1207"/>
    <cellStyle name="SAPBEXfilterItem 2" xfId="1208"/>
    <cellStyle name="SAPBEXfilterItem 2 2" xfId="1209"/>
    <cellStyle name="SAPBEXfilterItem 2 2 2" xfId="1210"/>
    <cellStyle name="SAPBEXfilterItem 3" xfId="1211"/>
    <cellStyle name="SAPBEXfilterItem 4" xfId="1212"/>
    <cellStyle name="SAPBEXfilterItem 5" xfId="1213"/>
    <cellStyle name="SAPBEXfilterItem 6" xfId="1214"/>
    <cellStyle name="SAPBEXfilterItem 7" xfId="1215"/>
    <cellStyle name="SAPBEXfilterItem 8" xfId="1216"/>
    <cellStyle name="SAPBEXfilterItem 9" xfId="1217"/>
    <cellStyle name="SAPBEXfilterText" xfId="1218"/>
    <cellStyle name="SAPBEXfilterText 10" xfId="1219"/>
    <cellStyle name="SAPBEXfilterText 11" xfId="1220"/>
    <cellStyle name="SAPBEXfilterText 2" xfId="1221"/>
    <cellStyle name="SAPBEXfilterText 2 2" xfId="1222"/>
    <cellStyle name="SAPBEXfilterText 2 2 2" xfId="1223"/>
    <cellStyle name="SAPBEXfilterText 3" xfId="1224"/>
    <cellStyle name="SAPBEXfilterText 4" xfId="1225"/>
    <cellStyle name="SAPBEXfilterText 5" xfId="1226"/>
    <cellStyle name="SAPBEXfilterText 6" xfId="1227"/>
    <cellStyle name="SAPBEXfilterText 7" xfId="1228"/>
    <cellStyle name="SAPBEXfilterText 8" xfId="1229"/>
    <cellStyle name="SAPBEXfilterText 9" xfId="1230"/>
    <cellStyle name="SAPBEXformats" xfId="1231"/>
    <cellStyle name="SAPBEXformats 10" xfId="1232"/>
    <cellStyle name="SAPBEXformats 11" xfId="1233"/>
    <cellStyle name="SAPBEXformats 2" xfId="1234"/>
    <cellStyle name="SAPBEXformats 2 2" xfId="1235"/>
    <cellStyle name="SAPBEXformats 2 2 2" xfId="1236"/>
    <cellStyle name="SAPBEXformats 3" xfId="1237"/>
    <cellStyle name="SAPBEXformats 4" xfId="1238"/>
    <cellStyle name="SAPBEXformats 5" xfId="1239"/>
    <cellStyle name="SAPBEXformats 6" xfId="1240"/>
    <cellStyle name="SAPBEXformats 7" xfId="1241"/>
    <cellStyle name="SAPBEXformats 8" xfId="1242"/>
    <cellStyle name="SAPBEXformats 9" xfId="1243"/>
    <cellStyle name="SAPBEXformats_gxaccion, 68" xfId="1244"/>
    <cellStyle name="SAPBEXheaderItem" xfId="1245"/>
    <cellStyle name="SAPBEXheaderItem 10" xfId="1246"/>
    <cellStyle name="SAPBEXheaderItem 11" xfId="1247"/>
    <cellStyle name="SAPBEXheaderItem 2" xfId="1248"/>
    <cellStyle name="SAPBEXheaderItem 2 2" xfId="1249"/>
    <cellStyle name="SAPBEXheaderItem 2 2 2" xfId="1250"/>
    <cellStyle name="SAPBEXheaderItem 3" xfId="1251"/>
    <cellStyle name="SAPBEXheaderItem 4" xfId="1252"/>
    <cellStyle name="SAPBEXheaderItem 5" xfId="1253"/>
    <cellStyle name="SAPBEXheaderItem 6" xfId="1254"/>
    <cellStyle name="SAPBEXheaderItem 7" xfId="1255"/>
    <cellStyle name="SAPBEXheaderItem 8" xfId="1256"/>
    <cellStyle name="SAPBEXheaderItem 9" xfId="1257"/>
    <cellStyle name="SAPBEXheaderItem_gxaccion, 68" xfId="1258"/>
    <cellStyle name="SAPBEXheaderText" xfId="1259"/>
    <cellStyle name="SAPBEXheaderText 10" xfId="1260"/>
    <cellStyle name="SAPBEXheaderText 11" xfId="1261"/>
    <cellStyle name="SAPBEXheaderText 2" xfId="1262"/>
    <cellStyle name="SAPBEXheaderText 2 2" xfId="1263"/>
    <cellStyle name="SAPBEXheaderText 2 2 2" xfId="1264"/>
    <cellStyle name="SAPBEXheaderText 3" xfId="1265"/>
    <cellStyle name="SAPBEXheaderText 4" xfId="1266"/>
    <cellStyle name="SAPBEXheaderText 5" xfId="1267"/>
    <cellStyle name="SAPBEXheaderText 6" xfId="1268"/>
    <cellStyle name="SAPBEXheaderText 7" xfId="1269"/>
    <cellStyle name="SAPBEXheaderText 8" xfId="1270"/>
    <cellStyle name="SAPBEXheaderText 9" xfId="1271"/>
    <cellStyle name="SAPBEXheaderText_gxaccion, 68" xfId="1272"/>
    <cellStyle name="SAPBEXHLevel0" xfId="1273"/>
    <cellStyle name="SAPBEXHLevel0 10" xfId="1274"/>
    <cellStyle name="SAPBEXHLevel0 11" xfId="1275"/>
    <cellStyle name="SAPBEXHLevel0 2" xfId="1276"/>
    <cellStyle name="SAPBEXHLevel0 2 2" xfId="1277"/>
    <cellStyle name="SAPBEXHLevel0 2 2 2" xfId="1278"/>
    <cellStyle name="SAPBEXHLevel0 3" xfId="1279"/>
    <cellStyle name="SAPBEXHLevel0 4" xfId="1280"/>
    <cellStyle name="SAPBEXHLevel0 5" xfId="1281"/>
    <cellStyle name="SAPBEXHLevel0 6" xfId="1282"/>
    <cellStyle name="SAPBEXHLevel0 7" xfId="1283"/>
    <cellStyle name="SAPBEXHLevel0 8" xfId="1284"/>
    <cellStyle name="SAPBEXHLevel0 9" xfId="1285"/>
    <cellStyle name="SAPBEXHLevel0_gxaccion, 68" xfId="1286"/>
    <cellStyle name="SAPBEXHLevel0X" xfId="1287"/>
    <cellStyle name="SAPBEXHLevel0X 10" xfId="1288"/>
    <cellStyle name="SAPBEXHLevel0X 11" xfId="1289"/>
    <cellStyle name="SAPBEXHLevel0X 2" xfId="1290"/>
    <cellStyle name="SAPBEXHLevel0X 2 2" xfId="1291"/>
    <cellStyle name="SAPBEXHLevel0X 2 2 2" xfId="1292"/>
    <cellStyle name="SAPBEXHLevel0X 3" xfId="1293"/>
    <cellStyle name="SAPBEXHLevel0X 4" xfId="1294"/>
    <cellStyle name="SAPBEXHLevel0X 5" xfId="1295"/>
    <cellStyle name="SAPBEXHLevel0X 6" xfId="1296"/>
    <cellStyle name="SAPBEXHLevel0X 7" xfId="1297"/>
    <cellStyle name="SAPBEXHLevel0X 8" xfId="1298"/>
    <cellStyle name="SAPBEXHLevel0X 9" xfId="1299"/>
    <cellStyle name="SAPBEXHLevel0X_gxaccion, 68" xfId="1300"/>
    <cellStyle name="SAPBEXHLevel1" xfId="1301"/>
    <cellStyle name="SAPBEXHLevel1 10" xfId="1302"/>
    <cellStyle name="SAPBEXHLevel1 11" xfId="1303"/>
    <cellStyle name="SAPBEXHLevel1 2" xfId="1304"/>
    <cellStyle name="SAPBEXHLevel1 2 2" xfId="1305"/>
    <cellStyle name="SAPBEXHLevel1 2 2 2" xfId="1306"/>
    <cellStyle name="SAPBEXHLevel1 3" xfId="1307"/>
    <cellStyle name="SAPBEXHLevel1 4" xfId="1308"/>
    <cellStyle name="SAPBEXHLevel1 5" xfId="1309"/>
    <cellStyle name="SAPBEXHLevel1 6" xfId="1310"/>
    <cellStyle name="SAPBEXHLevel1 7" xfId="1311"/>
    <cellStyle name="SAPBEXHLevel1 8" xfId="1312"/>
    <cellStyle name="SAPBEXHLevel1 9" xfId="1313"/>
    <cellStyle name="SAPBEXHLevel1_gxaccion, 68" xfId="1314"/>
    <cellStyle name="SAPBEXHLevel1X" xfId="1315"/>
    <cellStyle name="SAPBEXHLevel1X 10" xfId="1316"/>
    <cellStyle name="SAPBEXHLevel1X 11" xfId="1317"/>
    <cellStyle name="SAPBEXHLevel1X 2" xfId="1318"/>
    <cellStyle name="SAPBEXHLevel1X 2 2" xfId="1319"/>
    <cellStyle name="SAPBEXHLevel1X 2 2 2" xfId="1320"/>
    <cellStyle name="SAPBEXHLevel1X 3" xfId="1321"/>
    <cellStyle name="SAPBEXHLevel1X 4" xfId="1322"/>
    <cellStyle name="SAPBEXHLevel1X 5" xfId="1323"/>
    <cellStyle name="SAPBEXHLevel1X 6" xfId="1324"/>
    <cellStyle name="SAPBEXHLevel1X 7" xfId="1325"/>
    <cellStyle name="SAPBEXHLevel1X 8" xfId="1326"/>
    <cellStyle name="SAPBEXHLevel1X 9" xfId="1327"/>
    <cellStyle name="SAPBEXHLevel1X_gxaccion, 68" xfId="1328"/>
    <cellStyle name="SAPBEXHLevel2" xfId="1329"/>
    <cellStyle name="SAPBEXHLevel2 10" xfId="1330"/>
    <cellStyle name="SAPBEXHLevel2 11" xfId="1331"/>
    <cellStyle name="SAPBEXHLevel2 2" xfId="1332"/>
    <cellStyle name="SAPBEXHLevel2 2 2" xfId="1333"/>
    <cellStyle name="SAPBEXHLevel2 2 2 2" xfId="1334"/>
    <cellStyle name="SAPBEXHLevel2 3" xfId="1335"/>
    <cellStyle name="SAPBEXHLevel2 4" xfId="1336"/>
    <cellStyle name="SAPBEXHLevel2 5" xfId="1337"/>
    <cellStyle name="SAPBEXHLevel2 6" xfId="1338"/>
    <cellStyle name="SAPBEXHLevel2 7" xfId="1339"/>
    <cellStyle name="SAPBEXHLevel2 8" xfId="1340"/>
    <cellStyle name="SAPBEXHLevel2 9" xfId="1341"/>
    <cellStyle name="SAPBEXHLevel2_gxaccion, 68" xfId="1342"/>
    <cellStyle name="SAPBEXHLevel2X" xfId="1343"/>
    <cellStyle name="SAPBEXHLevel2X 10" xfId="1344"/>
    <cellStyle name="SAPBEXHLevel2X 11" xfId="1345"/>
    <cellStyle name="SAPBEXHLevel2X 2" xfId="1346"/>
    <cellStyle name="SAPBEXHLevel2X 2 2" xfId="1347"/>
    <cellStyle name="SAPBEXHLevel2X 2 2 2" xfId="1348"/>
    <cellStyle name="SAPBEXHLevel2X 3" xfId="1349"/>
    <cellStyle name="SAPBEXHLevel2X 4" xfId="1350"/>
    <cellStyle name="SAPBEXHLevel2X 5" xfId="1351"/>
    <cellStyle name="SAPBEXHLevel2X 6" xfId="1352"/>
    <cellStyle name="SAPBEXHLevel2X 7" xfId="1353"/>
    <cellStyle name="SAPBEXHLevel2X 8" xfId="1354"/>
    <cellStyle name="SAPBEXHLevel2X 9" xfId="1355"/>
    <cellStyle name="SAPBEXHLevel2X_gxaccion, 68" xfId="1356"/>
    <cellStyle name="SAPBEXHLevel3" xfId="1357"/>
    <cellStyle name="SAPBEXHLevel3 10" xfId="1358"/>
    <cellStyle name="SAPBEXHLevel3 11" xfId="1359"/>
    <cellStyle name="SAPBEXHLevel3 2" xfId="1360"/>
    <cellStyle name="SAPBEXHLevel3 2 2" xfId="1361"/>
    <cellStyle name="SAPBEXHLevel3 2 2 2" xfId="1362"/>
    <cellStyle name="SAPBEXHLevel3 3" xfId="1363"/>
    <cellStyle name="SAPBEXHLevel3 4" xfId="1364"/>
    <cellStyle name="SAPBEXHLevel3 5" xfId="1365"/>
    <cellStyle name="SAPBEXHLevel3 6" xfId="1366"/>
    <cellStyle name="SAPBEXHLevel3 7" xfId="1367"/>
    <cellStyle name="SAPBEXHLevel3 8" xfId="1368"/>
    <cellStyle name="SAPBEXHLevel3 9" xfId="1369"/>
    <cellStyle name="SAPBEXHLevel3_gxaccion, 68" xfId="1370"/>
    <cellStyle name="SAPBEXHLevel3X" xfId="1371"/>
    <cellStyle name="SAPBEXHLevel3X 10" xfId="1372"/>
    <cellStyle name="SAPBEXHLevel3X 11" xfId="1373"/>
    <cellStyle name="SAPBEXHLevel3X 2" xfId="1374"/>
    <cellStyle name="SAPBEXHLevel3X 2 2" xfId="1375"/>
    <cellStyle name="SAPBEXHLevel3X 2 2 2" xfId="1376"/>
    <cellStyle name="SAPBEXHLevel3X 3" xfId="1377"/>
    <cellStyle name="SAPBEXHLevel3X 4" xfId="1378"/>
    <cellStyle name="SAPBEXHLevel3X 5" xfId="1379"/>
    <cellStyle name="SAPBEXHLevel3X 6" xfId="1380"/>
    <cellStyle name="SAPBEXHLevel3X 7" xfId="1381"/>
    <cellStyle name="SAPBEXHLevel3X 8" xfId="1382"/>
    <cellStyle name="SAPBEXHLevel3X 9" xfId="1383"/>
    <cellStyle name="SAPBEXHLevel3X_gxaccion, 68" xfId="1384"/>
    <cellStyle name="SAPBEXinputData" xfId="1385"/>
    <cellStyle name="SAPBEXinputData 10" xfId="1386"/>
    <cellStyle name="SAPBEXinputData 11" xfId="1387"/>
    <cellStyle name="SAPBEXinputData 2" xfId="1388"/>
    <cellStyle name="SAPBEXinputData 2 2" xfId="1389"/>
    <cellStyle name="SAPBEXinputData 2 2 2" xfId="1390"/>
    <cellStyle name="SAPBEXinputData 3" xfId="1391"/>
    <cellStyle name="SAPBEXinputData 4" xfId="1392"/>
    <cellStyle name="SAPBEXinputData 5" xfId="1393"/>
    <cellStyle name="SAPBEXinputData 6" xfId="1394"/>
    <cellStyle name="SAPBEXinputData 7" xfId="1395"/>
    <cellStyle name="SAPBEXinputData 8" xfId="1396"/>
    <cellStyle name="SAPBEXinputData 9" xfId="1397"/>
    <cellStyle name="SAPBEXinputData_gxaccion, 68" xfId="1398"/>
    <cellStyle name="SAPBEXItemHeader" xfId="1399"/>
    <cellStyle name="SAPBEXresData" xfId="1400"/>
    <cellStyle name="SAPBEXresData 10" xfId="1401"/>
    <cellStyle name="SAPBEXresData 11" xfId="1402"/>
    <cellStyle name="SAPBEXresData 2" xfId="1403"/>
    <cellStyle name="SAPBEXresData 2 2" xfId="1404"/>
    <cellStyle name="SAPBEXresData 2 2 2" xfId="1405"/>
    <cellStyle name="SAPBEXresData 3" xfId="1406"/>
    <cellStyle name="SAPBEXresData 4" xfId="1407"/>
    <cellStyle name="SAPBEXresData 5" xfId="1408"/>
    <cellStyle name="SAPBEXresData 6" xfId="1409"/>
    <cellStyle name="SAPBEXresData 7" xfId="1410"/>
    <cellStyle name="SAPBEXresData 8" xfId="1411"/>
    <cellStyle name="SAPBEXresData 9" xfId="1412"/>
    <cellStyle name="SAPBEXresData_valor justo.junio2010" xfId="1413"/>
    <cellStyle name="SAPBEXresDataEmph" xfId="1414"/>
    <cellStyle name="SAPBEXresDataEmph 10" xfId="1415"/>
    <cellStyle name="SAPBEXresDataEmph 11" xfId="1416"/>
    <cellStyle name="SAPBEXresDataEmph 2" xfId="1417"/>
    <cellStyle name="SAPBEXresDataEmph 2 2" xfId="1418"/>
    <cellStyle name="SAPBEXresDataEmph 2 2 2" xfId="1419"/>
    <cellStyle name="SAPBEXresDataEmph 3" xfId="1420"/>
    <cellStyle name="SAPBEXresDataEmph 4" xfId="1421"/>
    <cellStyle name="SAPBEXresDataEmph 5" xfId="1422"/>
    <cellStyle name="SAPBEXresDataEmph 6" xfId="1423"/>
    <cellStyle name="SAPBEXresDataEmph 7" xfId="1424"/>
    <cellStyle name="SAPBEXresDataEmph 8" xfId="1425"/>
    <cellStyle name="SAPBEXresDataEmph 9" xfId="1426"/>
    <cellStyle name="SAPBEXresDataEmph_valor justo.junio2010" xfId="1427"/>
    <cellStyle name="SAPBEXresItem" xfId="1428"/>
    <cellStyle name="SAPBEXresItem 10" xfId="1429"/>
    <cellStyle name="SAPBEXresItem 11" xfId="1430"/>
    <cellStyle name="SAPBEXresItem 2" xfId="1431"/>
    <cellStyle name="SAPBEXresItem 2 2" xfId="1432"/>
    <cellStyle name="SAPBEXresItem 2 2 2" xfId="1433"/>
    <cellStyle name="SAPBEXresItem 3" xfId="1434"/>
    <cellStyle name="SAPBEXresItem 4" xfId="1435"/>
    <cellStyle name="SAPBEXresItem 5" xfId="1436"/>
    <cellStyle name="SAPBEXresItem 6" xfId="1437"/>
    <cellStyle name="SAPBEXresItem 7" xfId="1438"/>
    <cellStyle name="SAPBEXresItem 8" xfId="1439"/>
    <cellStyle name="SAPBEXresItem 9" xfId="1440"/>
    <cellStyle name="SAPBEXresItem_valor justo.junio2010" xfId="1441"/>
    <cellStyle name="SAPBEXresItemX" xfId="1442"/>
    <cellStyle name="SAPBEXresItemX 10" xfId="1443"/>
    <cellStyle name="SAPBEXresItemX 11" xfId="1444"/>
    <cellStyle name="SAPBEXresItemX 2" xfId="1445"/>
    <cellStyle name="SAPBEXresItemX 2 2" xfId="1446"/>
    <cellStyle name="SAPBEXresItemX 2 2 2" xfId="1447"/>
    <cellStyle name="SAPBEXresItemX 3" xfId="1448"/>
    <cellStyle name="SAPBEXresItemX 4" xfId="1449"/>
    <cellStyle name="SAPBEXresItemX 5" xfId="1450"/>
    <cellStyle name="SAPBEXresItemX 6" xfId="1451"/>
    <cellStyle name="SAPBEXresItemX 7" xfId="1452"/>
    <cellStyle name="SAPBEXresItemX 8" xfId="1453"/>
    <cellStyle name="SAPBEXresItemX 9" xfId="1454"/>
    <cellStyle name="SAPBEXresItemX_valor justo.junio2010" xfId="1455"/>
    <cellStyle name="SAPBEXstdData" xfId="1456"/>
    <cellStyle name="SAPBEXstdData 10" xfId="1457"/>
    <cellStyle name="SAPBEXstdData 11" xfId="1458"/>
    <cellStyle name="SAPBEXstdData 2" xfId="1459"/>
    <cellStyle name="SAPBEXstdData 2 2" xfId="1460"/>
    <cellStyle name="SAPBEXstdData 2 2 2" xfId="1461"/>
    <cellStyle name="SAPBEXstdData 3" xfId="1462"/>
    <cellStyle name="SAPBEXstdData 4" xfId="1463"/>
    <cellStyle name="SAPBEXstdData 5" xfId="1464"/>
    <cellStyle name="SAPBEXstdData 6" xfId="1465"/>
    <cellStyle name="SAPBEXstdData 7" xfId="1466"/>
    <cellStyle name="SAPBEXstdData 8" xfId="1467"/>
    <cellStyle name="SAPBEXstdData 9" xfId="1468"/>
    <cellStyle name="SAPBEXstdData_gxaccion, 68" xfId="1469"/>
    <cellStyle name="SAPBEXstdDataEmph" xfId="1470"/>
    <cellStyle name="SAPBEXstdDataEmph 10" xfId="1471"/>
    <cellStyle name="SAPBEXstdDataEmph 11" xfId="1472"/>
    <cellStyle name="SAPBEXstdDataEmph 2" xfId="1473"/>
    <cellStyle name="SAPBEXstdDataEmph 2 2" xfId="1474"/>
    <cellStyle name="SAPBEXstdDataEmph 2 2 2" xfId="1475"/>
    <cellStyle name="SAPBEXstdDataEmph 3" xfId="1476"/>
    <cellStyle name="SAPBEXstdDataEmph 4" xfId="1477"/>
    <cellStyle name="SAPBEXstdDataEmph 5" xfId="1478"/>
    <cellStyle name="SAPBEXstdDataEmph 6" xfId="1479"/>
    <cellStyle name="SAPBEXstdDataEmph 7" xfId="1480"/>
    <cellStyle name="SAPBEXstdDataEmph 8" xfId="1481"/>
    <cellStyle name="SAPBEXstdDataEmph 9" xfId="1482"/>
    <cellStyle name="SAPBEXstdDataEmph_valor justo.junio2010" xfId="1483"/>
    <cellStyle name="SAPBEXstdItem" xfId="1484"/>
    <cellStyle name="SAPBEXstdItem 10" xfId="1485"/>
    <cellStyle name="SAPBEXstdItem 11" xfId="1486"/>
    <cellStyle name="SAPBEXstdItem 2" xfId="1487"/>
    <cellStyle name="SAPBEXstdItem 2 2" xfId="1488"/>
    <cellStyle name="SAPBEXstdItem 2 2 2" xfId="1489"/>
    <cellStyle name="SAPBEXstdItem 3" xfId="1490"/>
    <cellStyle name="SAPBEXstdItem 4" xfId="1491"/>
    <cellStyle name="SAPBEXstdItem 5" xfId="1492"/>
    <cellStyle name="SAPBEXstdItem 6" xfId="1493"/>
    <cellStyle name="SAPBEXstdItem 7" xfId="1494"/>
    <cellStyle name="SAPBEXstdItem 8" xfId="1495"/>
    <cellStyle name="SAPBEXstdItem 9" xfId="1496"/>
    <cellStyle name="SAPBEXstdItem_gxaccion, 68" xfId="1497"/>
    <cellStyle name="SAPBEXstdItemX" xfId="1498"/>
    <cellStyle name="SAPBEXstdItemX 10" xfId="1499"/>
    <cellStyle name="SAPBEXstdItemX 11" xfId="1500"/>
    <cellStyle name="SAPBEXstdItemX 2" xfId="1501"/>
    <cellStyle name="SAPBEXstdItemX 2 2" xfId="1502"/>
    <cellStyle name="SAPBEXstdItemX 2 2 2" xfId="1503"/>
    <cellStyle name="SAPBEXstdItemX 3" xfId="1504"/>
    <cellStyle name="SAPBEXstdItemX 4" xfId="1505"/>
    <cellStyle name="SAPBEXstdItemX 5" xfId="1506"/>
    <cellStyle name="SAPBEXstdItemX 6" xfId="1507"/>
    <cellStyle name="SAPBEXstdItemX 7" xfId="1508"/>
    <cellStyle name="SAPBEXstdItemX 8" xfId="1509"/>
    <cellStyle name="SAPBEXstdItemX 9" xfId="1510"/>
    <cellStyle name="SAPBEXstdItemX_valor justo.junio2010" xfId="1511"/>
    <cellStyle name="SAPBEXtitle" xfId="1512"/>
    <cellStyle name="SAPBEXtitle 10" xfId="1513"/>
    <cellStyle name="SAPBEXtitle 11" xfId="1514"/>
    <cellStyle name="SAPBEXtitle 2" xfId="1515"/>
    <cellStyle name="SAPBEXtitle 2 2" xfId="1516"/>
    <cellStyle name="SAPBEXtitle 2 2 2" xfId="1517"/>
    <cellStyle name="SAPBEXtitle 3" xfId="1518"/>
    <cellStyle name="SAPBEXtitle 4" xfId="1519"/>
    <cellStyle name="SAPBEXtitle 5" xfId="1520"/>
    <cellStyle name="SAPBEXtitle 6" xfId="1521"/>
    <cellStyle name="SAPBEXtitle 7" xfId="1522"/>
    <cellStyle name="SAPBEXtitle 8" xfId="1523"/>
    <cellStyle name="SAPBEXtitle 9" xfId="1524"/>
    <cellStyle name="SAPBEXunassignedItem" xfId="1525"/>
    <cellStyle name="SAPBEXunassignedItem 2" xfId="1526"/>
    <cellStyle name="SAPBEXunassignedItem 3" xfId="1527"/>
    <cellStyle name="SAPBEXunassignedItem 4" xfId="1528"/>
    <cellStyle name="SAPBEXunassignedItem 5" xfId="1529"/>
    <cellStyle name="SAPBEXundefined" xfId="1530"/>
    <cellStyle name="SAPBEXundefined 10" xfId="1531"/>
    <cellStyle name="SAPBEXundefined 11" xfId="1532"/>
    <cellStyle name="SAPBEXundefined 2" xfId="1533"/>
    <cellStyle name="SAPBEXundefined 2 2" xfId="1534"/>
    <cellStyle name="SAPBEXundefined 2 2 2" xfId="1535"/>
    <cellStyle name="SAPBEXundefined 3" xfId="1536"/>
    <cellStyle name="SAPBEXundefined 4" xfId="1537"/>
    <cellStyle name="SAPBEXundefined 5" xfId="1538"/>
    <cellStyle name="SAPBEXundefined 6" xfId="1539"/>
    <cellStyle name="SAPBEXundefined 7" xfId="1540"/>
    <cellStyle name="SAPBEXundefined 8" xfId="1541"/>
    <cellStyle name="SAPBEXundefined 9" xfId="1542"/>
    <cellStyle name="SAPBEXundefined_valor justo.junio2010" xfId="1543"/>
    <cellStyle name="Sheet Title" xfId="1544"/>
    <cellStyle name="Suma" xfId="1545"/>
    <cellStyle name="Tekst obja?nienia" xfId="1546"/>
    <cellStyle name="Tekst objaśnienia" xfId="1547"/>
    <cellStyle name="Tekst ostrze?enia" xfId="1548"/>
    <cellStyle name="Tekst ostrzeżenia" xfId="1549"/>
    <cellStyle name="Texto de advertencia" xfId="1550" builtinId="11" customBuiltin="1"/>
    <cellStyle name="Texto de advertencia 2" xfId="1551"/>
    <cellStyle name="Texto de advertencia 2 2" xfId="1552"/>
    <cellStyle name="Texto de advertencia 2 3" xfId="1553"/>
    <cellStyle name="Texto de advertencia 2 4" xfId="1554"/>
    <cellStyle name="Texto de advertencia 2 5" xfId="1555"/>
    <cellStyle name="Texto de advertencia 2 6" xfId="1556"/>
    <cellStyle name="Texto de advertencia 3" xfId="1557"/>
    <cellStyle name="Texto de advertencia 3 2" xfId="1558"/>
    <cellStyle name="Texto de advertencia 3 3" xfId="1559"/>
    <cellStyle name="Texto de advertencia 3 4" xfId="1560"/>
    <cellStyle name="Texto de advertencia 3 5" xfId="1561"/>
    <cellStyle name="Texto de advertencia 4" xfId="1562"/>
    <cellStyle name="Texto de advertencia 4 2" xfId="1563"/>
    <cellStyle name="Texto de advertencia 4 3" xfId="1564"/>
    <cellStyle name="Texto de advertencia 4 4" xfId="1565"/>
    <cellStyle name="Texto de advertencia 4 5" xfId="1566"/>
    <cellStyle name="Texto de advertencia 5" xfId="1567"/>
    <cellStyle name="Texto de advertencia 5 2" xfId="1568"/>
    <cellStyle name="Texto de advertencia 5 3" xfId="1569"/>
    <cellStyle name="Texto de advertencia 5 4" xfId="1570"/>
    <cellStyle name="Texto de advertencia 5 5" xfId="1571"/>
    <cellStyle name="Texto de advertencia 6" xfId="1572"/>
    <cellStyle name="Texto de advertencia 6 2" xfId="1573"/>
    <cellStyle name="Texto de advertencia 7" xfId="1574"/>
    <cellStyle name="Texto de advertencia 8" xfId="1575"/>
    <cellStyle name="Texto de advertencia 9" xfId="1576"/>
    <cellStyle name="Texto explicativo" xfId="1577" builtinId="53" customBuiltin="1"/>
    <cellStyle name="Texto explicativo 2 2" xfId="1578"/>
    <cellStyle name="Title" xfId="1579"/>
    <cellStyle name="Título" xfId="1580" builtinId="15" customBuiltin="1"/>
    <cellStyle name="Título 1 2" xfId="1582"/>
    <cellStyle name="Título 1 2 2" xfId="1583"/>
    <cellStyle name="Título 1 2 3" xfId="1584"/>
    <cellStyle name="Título 1 2 4" xfId="1585"/>
    <cellStyle name="Título 1 2 5" xfId="1586"/>
    <cellStyle name="Título 1 2 6" xfId="1587"/>
    <cellStyle name="Título 1 3" xfId="1588"/>
    <cellStyle name="Título 1 3 2" xfId="1589"/>
    <cellStyle name="Título 1 3 3" xfId="1590"/>
    <cellStyle name="Título 1 3 4" xfId="1591"/>
    <cellStyle name="Título 1 3 5" xfId="1592"/>
    <cellStyle name="Título 1 4" xfId="1593"/>
    <cellStyle name="Título 1 4 2" xfId="1594"/>
    <cellStyle name="Título 1 4 3" xfId="1595"/>
    <cellStyle name="Título 1 4 4" xfId="1596"/>
    <cellStyle name="Título 1 4 5" xfId="1597"/>
    <cellStyle name="Título 1 5" xfId="1598"/>
    <cellStyle name="Título 1 5 2" xfId="1599"/>
    <cellStyle name="Título 1 5 3" xfId="1600"/>
    <cellStyle name="Título 1 5 4" xfId="1601"/>
    <cellStyle name="Título 1 5 5" xfId="1602"/>
    <cellStyle name="Título 1 6" xfId="1603"/>
    <cellStyle name="Título 1 7" xfId="1604"/>
    <cellStyle name="Título 1 8" xfId="1605"/>
    <cellStyle name="Título 1 9" xfId="1606"/>
    <cellStyle name="Título 2" xfId="1607" builtinId="17" customBuiltin="1"/>
    <cellStyle name="Título 2 2" xfId="1608"/>
    <cellStyle name="Título 2 2 2" xfId="1609"/>
    <cellStyle name="Título 2 2 3" xfId="1610"/>
    <cellStyle name="Título 2 2 4" xfId="1611"/>
    <cellStyle name="Título 2 2 5" xfId="1612"/>
    <cellStyle name="Título 2 2 6" xfId="1613"/>
    <cellStyle name="Título 2 3" xfId="1614"/>
    <cellStyle name="Título 2 3 2" xfId="1615"/>
    <cellStyle name="Título 2 3 3" xfId="1616"/>
    <cellStyle name="Título 2 3 4" xfId="1617"/>
    <cellStyle name="Título 2 3 5" xfId="1618"/>
    <cellStyle name="Título 2 4" xfId="1619"/>
    <cellStyle name="Título 2 4 2" xfId="1620"/>
    <cellStyle name="Título 2 4 3" xfId="1621"/>
    <cellStyle name="Título 2 4 4" xfId="1622"/>
    <cellStyle name="Título 2 4 5" xfId="1623"/>
    <cellStyle name="Título 2 5" xfId="1624"/>
    <cellStyle name="Título 2 5 2" xfId="1625"/>
    <cellStyle name="Título 2 5 3" xfId="1626"/>
    <cellStyle name="Título 2 5 4" xfId="1627"/>
    <cellStyle name="Título 2 5 5" xfId="1628"/>
    <cellStyle name="Título 2 6" xfId="1629"/>
    <cellStyle name="Título 2 6 2" xfId="1630"/>
    <cellStyle name="Título 2 7" xfId="1631"/>
    <cellStyle name="Título 2 8" xfId="1632"/>
    <cellStyle name="Título 2 9" xfId="1633"/>
    <cellStyle name="Título 3" xfId="1634" builtinId="18" customBuiltin="1"/>
    <cellStyle name="Título 3 2" xfId="1635"/>
    <cellStyle name="Título 3 2 2" xfId="1636"/>
    <cellStyle name="Título 3 2 3" xfId="1637"/>
    <cellStyle name="Título 3 2 4" xfId="1638"/>
    <cellStyle name="Título 3 2 5" xfId="1639"/>
    <cellStyle name="Título 3 2 6" xfId="1640"/>
    <cellStyle name="Título 3 3" xfId="1641"/>
    <cellStyle name="Título 3 3 2" xfId="1642"/>
    <cellStyle name="Título 3 3 3" xfId="1643"/>
    <cellStyle name="Título 3 3 4" xfId="1644"/>
    <cellStyle name="Título 3 3 5" xfId="1645"/>
    <cellStyle name="Título 3 4" xfId="1646"/>
    <cellStyle name="Título 3 4 2" xfId="1647"/>
    <cellStyle name="Título 3 4 3" xfId="1648"/>
    <cellStyle name="Título 3 4 4" xfId="1649"/>
    <cellStyle name="Título 3 4 5" xfId="1650"/>
    <cellStyle name="Título 3 5" xfId="1651"/>
    <cellStyle name="Título 3 5 2" xfId="1652"/>
    <cellStyle name="Título 3 5 3" xfId="1653"/>
    <cellStyle name="Título 3 5 4" xfId="1654"/>
    <cellStyle name="Título 3 5 5" xfId="1655"/>
    <cellStyle name="Título 3 6" xfId="1656"/>
    <cellStyle name="Título 3 6 2" xfId="1657"/>
    <cellStyle name="Título 3 7" xfId="1658"/>
    <cellStyle name="Título 3 8" xfId="1659"/>
    <cellStyle name="Título 3 9" xfId="1660"/>
    <cellStyle name="Total" xfId="1661" builtinId="25" customBuiltin="1"/>
    <cellStyle name="Total 2" xfId="1662"/>
    <cellStyle name="Total 2 2" xfId="1663"/>
    <cellStyle name="Total 2 3" xfId="1664"/>
    <cellStyle name="Total 2 4" xfId="1665"/>
    <cellStyle name="Total 2 5" xfId="1666"/>
    <cellStyle name="Total 2 6" xfId="1667"/>
    <cellStyle name="Total 3" xfId="1668"/>
    <cellStyle name="Total 3 2" xfId="1669"/>
    <cellStyle name="Total 3 3" xfId="1670"/>
    <cellStyle name="Total 3 4" xfId="1671"/>
    <cellStyle name="Total 3 5" xfId="1672"/>
    <cellStyle name="Total 4" xfId="1673"/>
    <cellStyle name="Total 4 2" xfId="1674"/>
    <cellStyle name="Total 4 3" xfId="1675"/>
    <cellStyle name="Total 4 4" xfId="1676"/>
    <cellStyle name="Total 4 5" xfId="1677"/>
    <cellStyle name="Total 5" xfId="1678"/>
    <cellStyle name="Total 5 2" xfId="1679"/>
    <cellStyle name="Total 5 3" xfId="1680"/>
    <cellStyle name="Total 5 4" xfId="1681"/>
    <cellStyle name="Total 5 5" xfId="1682"/>
    <cellStyle name="Total 6" xfId="1683"/>
    <cellStyle name="Total 7" xfId="1684"/>
    <cellStyle name="Total 8" xfId="1685"/>
    <cellStyle name="Total 9" xfId="1686"/>
    <cellStyle name="Tytu?" xfId="1687"/>
    <cellStyle name="Tytuł" xfId="1688"/>
    <cellStyle name="Uwaga" xfId="1689"/>
    <cellStyle name="Warning Text" xfId="1690"/>
    <cellStyle name="Warning Text 2" xfId="1691"/>
    <cellStyle name="Warning Text 3" xfId="1692"/>
    <cellStyle name="Warning Text 4" xfId="1693"/>
    <cellStyle name="Warning Text 5" xfId="1694"/>
    <cellStyle name="Z?e" xfId="1695"/>
    <cellStyle name="Złe" xfId="169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A6A6A6"/>
      <color rgb="FF000066"/>
      <color rgb="FF000069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1">
                <a:solidFill>
                  <a:srgbClr val="44546A"/>
                </a:solidFill>
              </a:rPr>
              <a:t>Composición por</a:t>
            </a:r>
            <a:r>
              <a:rPr lang="es-CL" sz="1200" b="1" baseline="0">
                <a:solidFill>
                  <a:srgbClr val="44546A"/>
                </a:solidFill>
              </a:rPr>
              <a:t> tasas</a:t>
            </a:r>
          </a:p>
          <a:p>
            <a:pPr>
              <a:defRPr/>
            </a:pPr>
            <a:r>
              <a:rPr lang="es-CL" sz="1200" b="1" baseline="0">
                <a:solidFill>
                  <a:srgbClr val="44546A"/>
                </a:solidFill>
              </a:rPr>
              <a:t>(%)</a:t>
            </a:r>
            <a:endParaRPr lang="es-CL" b="1">
              <a:solidFill>
                <a:srgbClr val="44546A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C-4F4B-9F76-0F3714A6BF6B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C-4F4B-9F76-0F3714A6BF6B}"/>
              </c:ext>
            </c:extLst>
          </c:dPt>
          <c:dLbls>
            <c:dLbl>
              <c:idx val="0"/>
              <c:layout>
                <c:manualLayout>
                  <c:x val="7.1674422881892685E-2"/>
                  <c:y val="-9.373400411832813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44546A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C375A0-65D6-4EF8-8F42-7B204D29C07F}" type="CATEGORYNAME">
                      <a:rPr lang="en-US" baseline="0">
                        <a:solidFill>
                          <a:srgbClr val="44546A"/>
                        </a:solidFill>
                      </a:rPr>
                      <a:pPr>
                        <a:defRPr>
                          <a:solidFill>
                            <a:srgbClr val="44546A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44546A"/>
                        </a:solidFill>
                      </a:rPr>
                      <a:t>;  </a:t>
                    </a:r>
                    <a:fld id="{F5981ECC-95B5-42C1-932C-6B608290968B}" type="PERCENTAGE">
                      <a:rPr lang="en-US" baseline="0">
                        <a:solidFill>
                          <a:srgbClr val="44546A"/>
                        </a:solidFill>
                      </a:rPr>
                      <a:pPr>
                        <a:defRPr>
                          <a:solidFill>
                            <a:srgbClr val="44546A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44546A"/>
                      </a:solidFill>
                    </a:endParaRP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44546A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1340327473657"/>
                      <c:h val="5.01468096719023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EBC-4F4B-9F76-0F3714A6BF6B}"/>
                </c:ext>
              </c:extLst>
            </c:dLbl>
            <c:dLbl>
              <c:idx val="1"/>
              <c:layout>
                <c:manualLayout>
                  <c:x val="-4.7719957672176967E-2"/>
                  <c:y val="1.7391713969967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44546A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0A93E60-B4DA-4175-9507-D5D8DC57E8C2}" type="CATEGORYNAME">
                      <a:rPr lang="en-US" baseline="0">
                        <a:solidFill>
                          <a:srgbClr val="44546A"/>
                        </a:solidFill>
                      </a:rPr>
                      <a:pPr>
                        <a:defRPr>
                          <a:solidFill>
                            <a:srgbClr val="44546A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44546A"/>
                        </a:solidFill>
                      </a:rPr>
                      <a:t>; </a:t>
                    </a:r>
                    <a:fld id="{007A2E95-6E00-49B0-8AD7-33ECD067C83B}" type="PERCENTAGE">
                      <a:rPr lang="en-US" baseline="0">
                        <a:solidFill>
                          <a:srgbClr val="44546A"/>
                        </a:solidFill>
                      </a:rPr>
                      <a:pPr>
                        <a:defRPr>
                          <a:solidFill>
                            <a:srgbClr val="44546A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44546A"/>
                      </a:solidFill>
                    </a:endParaRP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44546A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442663803364722"/>
                      <c:h val="0.1462166566455416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EBC-4F4B-9F76-0F3714A6BF6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44546A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A6A6A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Financiera'!$F$13:$F$14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'Deuda Financiera'!$H$13:$H$14</c:f>
              <c:numCache>
                <c:formatCode>#,##0</c:formatCode>
                <c:ptCount val="2"/>
                <c:pt idx="0">
                  <c:v>1206258871</c:v>
                </c:pt>
                <c:pt idx="1">
                  <c:v>142250706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BC-4F4B-9F76-0F3714A6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1" i="0" baseline="0">
                <a:solidFill>
                  <a:srgbClr val="44546A"/>
                </a:solidFill>
                <a:effectLst/>
              </a:rPr>
              <a:t>Composición por instrumentos</a:t>
            </a:r>
            <a:endParaRPr lang="es-CL" sz="1200" b="1" baseline="0">
              <a:solidFill>
                <a:srgbClr val="44546A"/>
              </a:solidFill>
              <a:effectLst/>
            </a:endParaRPr>
          </a:p>
          <a:p>
            <a:pPr>
              <a:defRPr sz="1200"/>
            </a:pPr>
            <a:r>
              <a:rPr lang="es-CL" sz="1200" b="1" i="0" baseline="0">
                <a:solidFill>
                  <a:srgbClr val="44546A"/>
                </a:solidFill>
                <a:effectLst/>
              </a:rPr>
              <a:t>(%)</a:t>
            </a:r>
            <a:endParaRPr lang="es-CL" sz="1200" b="1" baseline="0">
              <a:solidFill>
                <a:srgbClr val="44546A"/>
              </a:solidFill>
              <a:effectLst/>
            </a:endParaRPr>
          </a:p>
        </c:rich>
      </c:tx>
      <c:layout>
        <c:manualLayout>
          <c:xMode val="edge"/>
          <c:yMode val="edge"/>
          <c:x val="0.31624987542751326"/>
          <c:y val="1.17400376651838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1"/>
          <c:order val="1"/>
          <c:tx>
            <c:v>Serie 2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1B2-4923-9C1E-922558BB2CB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1B2-4923-9C1E-922558BB2CB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1B2-4923-9C1E-922558BB2CB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1B2-4923-9C1E-922558BB2CB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1B2-4923-9C1E-922558BB2CB6}"/>
              </c:ext>
            </c:extLst>
          </c:dPt>
          <c:dLbls>
            <c:dLbl>
              <c:idx val="0"/>
              <c:layout>
                <c:manualLayout>
                  <c:x val="9.379829962512079E-2"/>
                  <c:y val="2.4720405687632264E-2"/>
                </c:manualLayout>
              </c:layout>
              <c:tx>
                <c:rich>
                  <a:bodyPr/>
                  <a:lstStyle/>
                  <a:p>
                    <a:fld id="{A25C96AF-2E12-4BBC-B2A9-FEA0883FC351}" type="CATEGORYNAME">
                      <a:rPr lang="en-US" baseline="0">
                        <a:solidFill>
                          <a:srgbClr val="44546A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rgbClr val="44546A"/>
                        </a:solidFill>
                      </a:rPr>
                      <a:t>
</a:t>
                    </a:r>
                    <a:fld id="{D3F52607-5500-480C-B5FD-5C04CB2CFFC7}" type="PERCENTAGE">
                      <a:rPr lang="en-US" baseline="0">
                        <a:solidFill>
                          <a:srgbClr val="44546A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rgbClr val="44546A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C1B2-4923-9C1E-922558BB2CB6}"/>
                </c:ext>
              </c:extLst>
            </c:dLbl>
            <c:dLbl>
              <c:idx val="1"/>
              <c:layout>
                <c:manualLayout>
                  <c:x val="0.2266297286592158"/>
                  <c:y val="-7.65076068742081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1B2-4923-9C1E-922558BB2CB6}"/>
                </c:ext>
              </c:extLst>
            </c:dLbl>
            <c:dLbl>
              <c:idx val="2"/>
              <c:layout>
                <c:manualLayout>
                  <c:x val="-4.7596679076478854E-2"/>
                  <c:y val="5.297992430448943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1B2-4923-9C1E-922558BB2CB6}"/>
                </c:ext>
              </c:extLst>
            </c:dLbl>
            <c:dLbl>
              <c:idx val="3"/>
              <c:layout>
                <c:manualLayout>
                  <c:x val="-0.16785547573776549"/>
                  <c:y val="-1.175159282036610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C1B2-4923-9C1E-922558BB2CB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44546A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00006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Financiera'!$B$13:$B$16</c:f>
              <c:strCache>
                <c:ptCount val="4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Pasivo por arrendamientos</c:v>
                </c:pt>
              </c:strCache>
            </c:strRef>
          </c:cat>
          <c:val>
            <c:numRef>
              <c:f>'Deuda Financiera'!$D$13:$D$16</c:f>
              <c:numCache>
                <c:formatCode>#,##0</c:formatCode>
                <c:ptCount val="4"/>
                <c:pt idx="0">
                  <c:v>173762351</c:v>
                </c:pt>
                <c:pt idx="1">
                  <c:v>969081355</c:v>
                </c:pt>
                <c:pt idx="2">
                  <c:v>201202883</c:v>
                </c:pt>
                <c:pt idx="3">
                  <c:v>4462988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6E-4AEB-8816-0E9D4164445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pieChart>
        <c:varyColors val="1"/>
        <c:ser>
          <c:idx val="0"/>
          <c:order val="0"/>
          <c:tx>
            <c:v>Serie 1</c:v>
          </c:tx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26E-4AEB-8816-0E9D41644456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26E-4AEB-8816-0E9D41644456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26E-4AEB-8816-0E9D4164445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26E-4AEB-8816-0E9D4164445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26E-4AEB-8816-0E9D41644456}"/>
              </c:ext>
            </c:extLst>
          </c:dPt>
          <c:cat>
            <c:strRef>
              <c:f>'Deuda Financiera'!$B$13:$B$16</c:f>
              <c:strCache>
                <c:ptCount val="4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Pasivo por arrendamientos</c:v>
                </c:pt>
              </c:strCache>
            </c:strRef>
          </c:cat>
          <c:val>
            <c:numRef>
              <c:f>'Deuda Financiera'!$C$13:$C$16</c:f>
              <c:numCache>
                <c:formatCode>0.00%</c:formatCode>
                <c:ptCount val="4"/>
                <c:pt idx="0">
                  <c:v>0.12886</c:v>
                </c:pt>
                <c:pt idx="1">
                  <c:v>0.71862999999999999</c:v>
                </c:pt>
                <c:pt idx="2">
                  <c:v>0.1492</c:v>
                </c:pt>
                <c:pt idx="3">
                  <c:v>3.3E-3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E-4AEB-8816-0E9D41644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18</xdr:row>
      <xdr:rowOff>9524</xdr:rowOff>
    </xdr:from>
    <xdr:to>
      <xdr:col>13</xdr:col>
      <xdr:colOff>319911</xdr:colOff>
      <xdr:row>40</xdr:row>
      <xdr:rowOff>180975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83003</xdr:colOff>
      <xdr:row>18</xdr:row>
      <xdr:rowOff>54426</xdr:rowOff>
    </xdr:from>
    <xdr:to>
      <xdr:col>6</xdr:col>
      <xdr:colOff>690789</xdr:colOff>
      <xdr:row>40</xdr:row>
      <xdr:rowOff>190499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469900</xdr:colOff>
      <xdr:row>4</xdr:row>
      <xdr:rowOff>5442</xdr:rowOff>
    </xdr:from>
    <xdr:to>
      <xdr:col>9</xdr:col>
      <xdr:colOff>57481</xdr:colOff>
      <xdr:row>9</xdr:row>
      <xdr:rowOff>117974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900" y="658585"/>
          <a:ext cx="6445581" cy="928960"/>
        </a:xfrm>
        <a:prstGeom prst="rect">
          <a:avLst/>
        </a:prstGeom>
      </xdr:spPr>
    </xdr:pic>
    <xdr:clientData/>
  </xdr:twoCellAnchor>
  <xdr:twoCellAnchor editAs="oneCell">
    <xdr:from>
      <xdr:col>0</xdr:col>
      <xdr:colOff>447222</xdr:colOff>
      <xdr:row>10</xdr:row>
      <xdr:rowOff>135164</xdr:rowOff>
    </xdr:from>
    <xdr:to>
      <xdr:col>8</xdr:col>
      <xdr:colOff>720599</xdr:colOff>
      <xdr:row>17</xdr:row>
      <xdr:rowOff>52667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7222" y="1768021"/>
          <a:ext cx="6369377" cy="10605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23\IV%20Trimestre\03%20An&#225;lisis%20Razonado\AA\Tablas%20an&#225;lisis%20razonado%20AA_4T23%20VF%2008.0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24\II%20Trimestre\03%20An&#225;lisis%20Razonado\AA\Informaci&#243;n%20AA%20Analisis%20razonado%20062024%20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>
        <row r="2">
          <cell r="A2" t="str">
            <v>CONSOLIDADO GRUPO</v>
          </cell>
          <cell r="B2">
            <v>100212</v>
          </cell>
        </row>
        <row r="3">
          <cell r="B3">
            <v>100200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Resultados"/>
      <sheetName val="Resultados por Segmento"/>
      <sheetName val="Resultados Trim"/>
      <sheetName val="Resultados Trimestrales"/>
      <sheetName val="Estado de situación financiera"/>
      <sheetName val="Deuda Financiera"/>
      <sheetName val="Flujo de efectivo"/>
      <sheetName val="Indicadores"/>
      <sheetName val="Cálculos"/>
      <sheetName val="Balance"/>
      <sheetName val="Resultado"/>
      <sheetName val="Flujo"/>
      <sheetName val="Anualizados"/>
      <sheetName val="Valor ac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6">
          <cell r="E6">
            <v>324838124</v>
          </cell>
        </row>
        <row r="7">
          <cell r="E7">
            <v>2054511436</v>
          </cell>
        </row>
        <row r="10">
          <cell r="E10">
            <v>265797147</v>
          </cell>
        </row>
        <row r="11">
          <cell r="E11">
            <v>1274661314</v>
          </cell>
        </row>
        <row r="12">
          <cell r="E12">
            <v>29573</v>
          </cell>
        </row>
        <row r="13">
          <cell r="E13">
            <v>838861526</v>
          </cell>
        </row>
        <row r="28">
          <cell r="D28">
            <v>229397451</v>
          </cell>
        </row>
        <row r="29">
          <cell r="D29">
            <v>-150000484</v>
          </cell>
        </row>
        <row r="30">
          <cell r="D30">
            <v>-149575627</v>
          </cell>
        </row>
        <row r="32">
          <cell r="D32">
            <v>179335341</v>
          </cell>
        </row>
        <row r="50">
          <cell r="C50">
            <v>640855854</v>
          </cell>
        </row>
        <row r="51">
          <cell r="C51">
            <v>-85361668</v>
          </cell>
        </row>
        <row r="52">
          <cell r="C52">
            <v>-76458923</v>
          </cell>
        </row>
        <row r="53">
          <cell r="C53">
            <v>-77689350</v>
          </cell>
        </row>
        <row r="54">
          <cell r="C54">
            <v>-12316346</v>
          </cell>
        </row>
        <row r="55">
          <cell r="C55">
            <v>-148430974</v>
          </cell>
        </row>
        <row r="57">
          <cell r="C57">
            <v>15927907</v>
          </cell>
        </row>
        <row r="58">
          <cell r="C58">
            <v>-48849432</v>
          </cell>
        </row>
        <row r="59">
          <cell r="C59">
            <v>2645936</v>
          </cell>
        </row>
        <row r="60">
          <cell r="C60">
            <v>-46357996</v>
          </cell>
        </row>
        <row r="62">
          <cell r="C62">
            <v>3336545</v>
          </cell>
        </row>
        <row r="65">
          <cell r="C65">
            <v>-33909237</v>
          </cell>
        </row>
        <row r="66">
          <cell r="C66">
            <v>0</v>
          </cell>
        </row>
        <row r="67">
          <cell r="C67">
            <v>1895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o"/>
      <sheetName val="Pasivo"/>
      <sheetName val="Resultado"/>
      <sheetName val="Cambio Patrimonio"/>
      <sheetName val="Flujo"/>
      <sheetName val="Segmentos Aguas Andinas"/>
    </sheetNames>
    <sheetDataSet>
      <sheetData sheetId="0">
        <row r="2">
          <cell r="B2" t="str">
            <v>ACTIVOS</v>
          </cell>
          <cell r="C2" t="str">
            <v>Nota</v>
          </cell>
          <cell r="D2">
            <v>45473</v>
          </cell>
          <cell r="E2">
            <v>45291</v>
          </cell>
        </row>
        <row r="3">
          <cell r="D3" t="str">
            <v>M$</v>
          </cell>
          <cell r="E3" t="str">
            <v>M$</v>
          </cell>
        </row>
        <row r="4">
          <cell r="B4" t="str">
            <v>ACTIVOS CORRIENTES</v>
          </cell>
        </row>
        <row r="5">
          <cell r="B5" t="str">
            <v>Efectivo y equivalentes al efectivo</v>
          </cell>
          <cell r="C5">
            <v>4</v>
          </cell>
          <cell r="D5">
            <v>107760188</v>
          </cell>
          <cell r="E5">
            <v>109156681</v>
          </cell>
        </row>
        <row r="6">
          <cell r="B6" t="str">
            <v>Otros activos financieros</v>
          </cell>
          <cell r="C6">
            <v>10</v>
          </cell>
          <cell r="D6">
            <v>0</v>
          </cell>
          <cell r="E6">
            <v>0</v>
          </cell>
        </row>
        <row r="7">
          <cell r="B7" t="str">
            <v>Otros activos no financieros</v>
          </cell>
          <cell r="D7">
            <v>5492450</v>
          </cell>
          <cell r="E7">
            <v>7180555</v>
          </cell>
        </row>
        <row r="8">
          <cell r="B8" t="str">
            <v>Deudores comerciales y otras cuentas por cobrar</v>
          </cell>
          <cell r="C8">
            <v>5</v>
          </cell>
          <cell r="D8">
            <v>115947136</v>
          </cell>
          <cell r="E8">
            <v>132007468</v>
          </cell>
        </row>
        <row r="9">
          <cell r="B9" t="str">
            <v>Cuentas por cobrar a entidades relacionadas</v>
          </cell>
          <cell r="C9">
            <v>6</v>
          </cell>
          <cell r="D9">
            <v>36212</v>
          </cell>
          <cell r="E9">
            <v>14381</v>
          </cell>
        </row>
        <row r="10">
          <cell r="B10" t="str">
            <v>Inventarios</v>
          </cell>
          <cell r="C10">
            <v>7</v>
          </cell>
          <cell r="D10">
            <v>12846974</v>
          </cell>
          <cell r="E10">
            <v>12812483</v>
          </cell>
        </row>
        <row r="11">
          <cell r="B11" t="str">
            <v>Activos por impuestos corrientes</v>
          </cell>
          <cell r="C11">
            <v>8</v>
          </cell>
          <cell r="D11">
            <v>9230263</v>
          </cell>
          <cell r="E11">
            <v>13829428</v>
          </cell>
        </row>
        <row r="12">
          <cell r="B12" t="str">
            <v>Total de activos corrientes distintos de los activos o grupos de activos para su disposición clasificados como mantenidos para la venta o como mantenidos para distribuir a los propietarios</v>
          </cell>
          <cell r="D12">
            <v>251313223</v>
          </cell>
          <cell r="E12">
            <v>275000996</v>
          </cell>
        </row>
        <row r="13">
          <cell r="B13" t="str">
            <v>Activos no corrientes mantenidos para la venta</v>
          </cell>
          <cell r="C13">
            <v>9</v>
          </cell>
          <cell r="D13">
            <v>0</v>
          </cell>
          <cell r="E13">
            <v>3414</v>
          </cell>
        </row>
        <row r="14">
          <cell r="B14" t="str">
            <v>ACTIVOS CORRIENTES TOTALES</v>
          </cell>
          <cell r="D14">
            <v>251313223</v>
          </cell>
          <cell r="E14">
            <v>275004410</v>
          </cell>
        </row>
        <row r="15">
          <cell r="B15" t="str">
            <v>ACTIVOS NO CORRIENTES</v>
          </cell>
        </row>
        <row r="16">
          <cell r="B16" t="str">
            <v>Otros activos financieros no corrientes</v>
          </cell>
          <cell r="C16">
            <v>10</v>
          </cell>
          <cell r="D16">
            <v>11122826</v>
          </cell>
          <cell r="E16">
            <v>7895863</v>
          </cell>
        </row>
        <row r="17">
          <cell r="B17" t="str">
            <v>Otros activos no financieros no corrientes</v>
          </cell>
          <cell r="D17">
            <v>2583046</v>
          </cell>
          <cell r="E17">
            <v>1481897</v>
          </cell>
        </row>
        <row r="18">
          <cell r="B18" t="str">
            <v>Derechos por cobrar</v>
          </cell>
          <cell r="C18">
            <v>5</v>
          </cell>
          <cell r="D18">
            <v>5293187</v>
          </cell>
          <cell r="E18">
            <v>3778724</v>
          </cell>
        </row>
        <row r="19">
          <cell r="B19" t="str">
            <v>Inversiones contabilizadas utilizando el método de la partic</v>
          </cell>
          <cell r="D19">
            <v>0</v>
          </cell>
          <cell r="E19">
            <v>0</v>
          </cell>
        </row>
        <row r="20">
          <cell r="B20" t="str">
            <v>Activos intangibles distintos de la plusvalía</v>
          </cell>
          <cell r="C20">
            <v>11</v>
          </cell>
          <cell r="D20">
            <v>230335074</v>
          </cell>
          <cell r="E20">
            <v>231747713</v>
          </cell>
        </row>
        <row r="21">
          <cell r="B21" t="str">
            <v>Plusvalía</v>
          </cell>
          <cell r="C21">
            <v>12</v>
          </cell>
          <cell r="D21">
            <v>33823049</v>
          </cell>
          <cell r="E21">
            <v>33823049</v>
          </cell>
        </row>
        <row r="22">
          <cell r="B22" t="str">
            <v>Propiedades, plantas y equipos</v>
          </cell>
          <cell r="C22">
            <v>13</v>
          </cell>
          <cell r="D22">
            <v>1831047523</v>
          </cell>
          <cell r="E22">
            <v>1805370932</v>
          </cell>
        </row>
        <row r="23">
          <cell r="B23" t="str">
            <v>Activos por derecho de uso</v>
          </cell>
          <cell r="C23">
            <v>14</v>
          </cell>
          <cell r="D23">
            <v>4274555</v>
          </cell>
          <cell r="E23">
            <v>4307072</v>
          </cell>
        </row>
        <row r="24">
          <cell r="B24" t="str">
            <v>Activos por impuestos diferidos</v>
          </cell>
          <cell r="C24">
            <v>15</v>
          </cell>
          <cell r="D24">
            <v>63340672</v>
          </cell>
          <cell r="E24">
            <v>59938069</v>
          </cell>
        </row>
        <row r="25">
          <cell r="B25" t="str">
            <v>Cuentas por cobrar a entidades relacionadas</v>
          </cell>
          <cell r="D25">
            <v>0</v>
          </cell>
          <cell r="E25">
            <v>0</v>
          </cell>
        </row>
        <row r="26">
          <cell r="B26" t="str">
            <v>TOTAL DE ACTIVOS NO CORRIENTES</v>
          </cell>
          <cell r="D26">
            <v>2181819932</v>
          </cell>
          <cell r="E26">
            <v>2148343319</v>
          </cell>
        </row>
        <row r="28">
          <cell r="B28" t="str">
            <v>TOTAL DE ACTIVOS</v>
          </cell>
          <cell r="D28">
            <v>2433133155</v>
          </cell>
          <cell r="E28">
            <v>2423347729</v>
          </cell>
        </row>
        <row r="30">
          <cell r="D30">
            <v>0</v>
          </cell>
          <cell r="E30">
            <v>0</v>
          </cell>
        </row>
      </sheetData>
      <sheetData sheetId="1">
        <row r="2">
          <cell r="B2" t="str">
            <v>PASIVOS</v>
          </cell>
          <cell r="C2" t="str">
            <v>Nota</v>
          </cell>
          <cell r="D2">
            <v>45473</v>
          </cell>
          <cell r="E2">
            <v>45291</v>
          </cell>
        </row>
        <row r="3">
          <cell r="D3" t="str">
            <v>M$</v>
          </cell>
          <cell r="E3" t="str">
            <v>M$</v>
          </cell>
        </row>
        <row r="4">
          <cell r="B4" t="str">
            <v>PASIVOS CORRIENTES</v>
          </cell>
        </row>
        <row r="5">
          <cell r="B5" t="str">
            <v xml:space="preserve">Otros pasivos financieros </v>
          </cell>
          <cell r="C5">
            <v>16</v>
          </cell>
          <cell r="D5">
            <v>89471870</v>
          </cell>
          <cell r="E5">
            <v>155416801</v>
          </cell>
        </row>
        <row r="6">
          <cell r="B6" t="str">
            <v>Pasivos por arrendamientos</v>
          </cell>
          <cell r="C6">
            <v>14</v>
          </cell>
          <cell r="D6">
            <v>1825574</v>
          </cell>
          <cell r="E6">
            <v>1752912</v>
          </cell>
        </row>
        <row r="7">
          <cell r="B7" t="str">
            <v>Cuentas por pagar comerciales y otras cuentas por pagar</v>
          </cell>
          <cell r="C7">
            <v>17</v>
          </cell>
          <cell r="D7">
            <v>141313694</v>
          </cell>
          <cell r="E7">
            <v>177288051</v>
          </cell>
        </row>
        <row r="8">
          <cell r="B8" t="str">
            <v>Cuentas por pagar a entidades relacionadas</v>
          </cell>
          <cell r="C8">
            <v>6</v>
          </cell>
          <cell r="D8">
            <v>1192974</v>
          </cell>
          <cell r="E8">
            <v>1578553</v>
          </cell>
        </row>
        <row r="9">
          <cell r="B9" t="str">
            <v>Otras provisiones</v>
          </cell>
          <cell r="C9">
            <v>18</v>
          </cell>
          <cell r="D9">
            <v>735780</v>
          </cell>
          <cell r="E9">
            <v>735780</v>
          </cell>
        </row>
        <row r="10">
          <cell r="B10" t="str">
            <v>Pasivos por impuestos</v>
          </cell>
          <cell r="C10">
            <v>8</v>
          </cell>
          <cell r="D10">
            <v>240035</v>
          </cell>
          <cell r="E10">
            <v>240748</v>
          </cell>
        </row>
        <row r="11">
          <cell r="B11" t="str">
            <v>Provisiones corrientes por beneficios a los empleados</v>
          </cell>
          <cell r="C11">
            <v>19</v>
          </cell>
          <cell r="D11">
            <v>3755138</v>
          </cell>
          <cell r="E11">
            <v>5955720</v>
          </cell>
        </row>
        <row r="12">
          <cell r="B12" t="str">
            <v>Otros pasivos no financieros</v>
          </cell>
          <cell r="C12">
            <v>20</v>
          </cell>
          <cell r="D12">
            <v>14305354</v>
          </cell>
          <cell r="E12">
            <v>18699561</v>
          </cell>
        </row>
        <row r="13">
          <cell r="B13" t="str">
            <v>Total de pasivos corrientes distintos de los pasivos incluidos en grupos de pasivos para su disposición clasificados como mantenidos para la venta</v>
          </cell>
          <cell r="D13">
            <v>252840419</v>
          </cell>
          <cell r="E13">
            <v>361668126</v>
          </cell>
        </row>
        <row r="14">
          <cell r="B14" t="str">
            <v>Pasivos incluidos en grupos de activos para su disposición clasificados como mantenidos para la venta</v>
          </cell>
          <cell r="D14">
            <v>0</v>
          </cell>
          <cell r="E14">
            <v>0</v>
          </cell>
        </row>
        <row r="15">
          <cell r="B15" t="str">
            <v>PASIVOS CORRIENTES TOTALES</v>
          </cell>
          <cell r="D15">
            <v>252840419</v>
          </cell>
          <cell r="E15">
            <v>361668126</v>
          </cell>
        </row>
        <row r="16">
          <cell r="B16" t="str">
            <v>PASIVOS NO CORRIENTES</v>
          </cell>
        </row>
        <row r="17">
          <cell r="B17" t="str">
            <v>Otros pasivos financieros no corrientes</v>
          </cell>
          <cell r="C17">
            <v>16</v>
          </cell>
          <cell r="D17">
            <v>1254574719</v>
          </cell>
          <cell r="E17">
            <v>1125060897</v>
          </cell>
        </row>
        <row r="18">
          <cell r="B18" t="str">
            <v>Pasivos por arrendamientos no corrientes</v>
          </cell>
          <cell r="C18">
            <v>14</v>
          </cell>
          <cell r="D18">
            <v>2637414</v>
          </cell>
          <cell r="E18">
            <v>2762179</v>
          </cell>
        </row>
        <row r="19">
          <cell r="B19" t="str">
            <v>Otras cuentas por pagar</v>
          </cell>
          <cell r="C19">
            <v>17</v>
          </cell>
          <cell r="D19">
            <v>1236160</v>
          </cell>
          <cell r="E19">
            <v>1181870</v>
          </cell>
        </row>
        <row r="20">
          <cell r="B20" t="str">
            <v>Cuentas por pagar a entidades relacionadas no corrientes</v>
          </cell>
          <cell r="D20">
            <v>0</v>
          </cell>
          <cell r="E20">
            <v>0</v>
          </cell>
        </row>
        <row r="21">
          <cell r="B21" t="str">
            <v>Otras provisiones no corrientes</v>
          </cell>
          <cell r="C21">
            <v>18</v>
          </cell>
          <cell r="D21">
            <v>1864283</v>
          </cell>
          <cell r="E21">
            <v>1823379</v>
          </cell>
        </row>
        <row r="22">
          <cell r="B22" t="str">
            <v>Pasivo por impuestos diferidos</v>
          </cell>
          <cell r="C22">
            <v>15</v>
          </cell>
          <cell r="D22">
            <v>14793077</v>
          </cell>
          <cell r="E22">
            <v>14934780</v>
          </cell>
        </row>
        <row r="23">
          <cell r="B23" t="str">
            <v>Provisiones no corrientes por beneficios a los empleados</v>
          </cell>
          <cell r="C23">
            <v>19</v>
          </cell>
          <cell r="D23">
            <v>22993112</v>
          </cell>
          <cell r="E23">
            <v>22322555</v>
          </cell>
        </row>
        <row r="24">
          <cell r="B24" t="str">
            <v>Otros pasivos no financieros no corrientes</v>
          </cell>
          <cell r="C24">
            <v>20</v>
          </cell>
          <cell r="D24">
            <v>7729896</v>
          </cell>
          <cell r="E24">
            <v>7454645</v>
          </cell>
        </row>
        <row r="25">
          <cell r="B25" t="str">
            <v>TOTAL DE PASIVOS NO CORRIENTES</v>
          </cell>
          <cell r="D25">
            <v>1305828661</v>
          </cell>
          <cell r="E25">
            <v>1175540305</v>
          </cell>
        </row>
        <row r="27">
          <cell r="B27" t="str">
            <v>TOTAL PASIVOS</v>
          </cell>
          <cell r="D27">
            <v>1558669080</v>
          </cell>
          <cell r="E27">
            <v>1537208431</v>
          </cell>
        </row>
        <row r="28">
          <cell r="B28" t="str">
            <v>PATRIMONIO</v>
          </cell>
        </row>
        <row r="29">
          <cell r="B29" t="str">
            <v>Capital Emitido</v>
          </cell>
          <cell r="C29">
            <v>21</v>
          </cell>
          <cell r="D29">
            <v>155567354</v>
          </cell>
          <cell r="E29">
            <v>155567354</v>
          </cell>
        </row>
        <row r="30">
          <cell r="B30" t="str">
            <v>Ganancias (perdidas) acumuladas</v>
          </cell>
          <cell r="C30">
            <v>21</v>
          </cell>
          <cell r="D30">
            <v>399012626</v>
          </cell>
          <cell r="E30">
            <v>411044222</v>
          </cell>
        </row>
        <row r="31">
          <cell r="B31" t="str">
            <v>Primas de emisión</v>
          </cell>
          <cell r="C31">
            <v>21</v>
          </cell>
          <cell r="D31">
            <v>164064038</v>
          </cell>
          <cell r="E31">
            <v>164064038</v>
          </cell>
        </row>
        <row r="32">
          <cell r="B32" t="str">
            <v>Otras participaciones en el patrimonio</v>
          </cell>
          <cell r="C32">
            <v>21</v>
          </cell>
          <cell r="D32">
            <v>-5965550</v>
          </cell>
          <cell r="E32">
            <v>-5965550</v>
          </cell>
        </row>
        <row r="33">
          <cell r="B33" t="str">
            <v>Otras reservas</v>
          </cell>
          <cell r="C33">
            <v>21</v>
          </cell>
          <cell r="D33">
            <v>161752275</v>
          </cell>
          <cell r="E33">
            <v>161397766</v>
          </cell>
        </row>
        <row r="34">
          <cell r="B34" t="str">
            <v>Patrimonio atribuible a los propietarios de la controladora</v>
          </cell>
          <cell r="D34">
            <v>874430743</v>
          </cell>
          <cell r="E34">
            <v>886107830</v>
          </cell>
        </row>
        <row r="35">
          <cell r="B35" t="str">
            <v>Participaciones no controladoras</v>
          </cell>
          <cell r="C35">
            <v>22</v>
          </cell>
          <cell r="D35">
            <v>33332</v>
          </cell>
          <cell r="E35">
            <v>31468</v>
          </cell>
        </row>
        <row r="36">
          <cell r="B36" t="str">
            <v xml:space="preserve">PATRIMONIO TOTAL </v>
          </cell>
          <cell r="D36">
            <v>874464075</v>
          </cell>
          <cell r="E36">
            <v>886139298</v>
          </cell>
        </row>
        <row r="38">
          <cell r="B38" t="str">
            <v>TOTAL DE PATRIMONIO Y PASIVOS</v>
          </cell>
          <cell r="D38">
            <v>2433133155</v>
          </cell>
          <cell r="E38">
            <v>2423347729</v>
          </cell>
        </row>
        <row r="40">
          <cell r="D40">
            <v>0</v>
          </cell>
          <cell r="E40">
            <v>0</v>
          </cell>
        </row>
      </sheetData>
      <sheetData sheetId="2">
        <row r="2">
          <cell r="B2" t="str">
            <v xml:space="preserve">ESTADOS DE RESULTADOS POR NATURALEZA </v>
          </cell>
          <cell r="C2" t="str">
            <v>Nota</v>
          </cell>
          <cell r="D2">
            <v>45473</v>
          </cell>
          <cell r="E2">
            <v>45107</v>
          </cell>
          <cell r="F2" t="str">
            <v>01-04-2024
30-06-2024</v>
          </cell>
          <cell r="G2" t="str">
            <v>01-04-2023
30-06-2023</v>
          </cell>
        </row>
        <row r="3">
          <cell r="D3" t="str">
            <v>M$</v>
          </cell>
          <cell r="E3" t="str">
            <v>M$</v>
          </cell>
          <cell r="F3" t="str">
            <v>M$</v>
          </cell>
          <cell r="G3" t="str">
            <v>M$</v>
          </cell>
        </row>
        <row r="4">
          <cell r="B4" t="str">
            <v>Ingresos de actividades ordinarias</v>
          </cell>
          <cell r="C4">
            <v>25</v>
          </cell>
          <cell r="D4">
            <v>339686610</v>
          </cell>
          <cell r="E4">
            <v>336809270</v>
          </cell>
          <cell r="F4">
            <v>150546418</v>
          </cell>
          <cell r="G4">
            <v>155339926</v>
          </cell>
        </row>
        <row r="5">
          <cell r="B5" t="str">
            <v>Materias primas y consumibles utilizados</v>
          </cell>
          <cell r="D5">
            <v>-41170430</v>
          </cell>
          <cell r="E5">
            <v>-48244002</v>
          </cell>
          <cell r="F5">
            <v>-19489943</v>
          </cell>
          <cell r="G5">
            <v>-22936811</v>
          </cell>
        </row>
        <row r="6">
          <cell r="B6" t="str">
            <v>Gastos por beneficios a los empleados</v>
          </cell>
          <cell r="C6">
            <v>19</v>
          </cell>
          <cell r="D6">
            <v>-39964877</v>
          </cell>
          <cell r="E6">
            <v>-36713649</v>
          </cell>
          <cell r="F6">
            <v>-21218332</v>
          </cell>
          <cell r="G6">
            <v>-20053838</v>
          </cell>
        </row>
        <row r="7">
          <cell r="B7" t="str">
            <v>Gasto por depreciación y amortización</v>
          </cell>
          <cell r="C7" t="str">
            <v>11-13-14</v>
          </cell>
          <cell r="D7">
            <v>-40578598</v>
          </cell>
          <cell r="E7">
            <v>-37304527</v>
          </cell>
          <cell r="F7">
            <v>-20606051</v>
          </cell>
          <cell r="G7">
            <v>-18479475</v>
          </cell>
        </row>
        <row r="8">
          <cell r="B8" t="str">
            <v>Otros gastos, por naturaleza</v>
          </cell>
          <cell r="C8">
            <v>26</v>
          </cell>
          <cell r="D8">
            <v>-75701335</v>
          </cell>
          <cell r="E8">
            <v>-72127713</v>
          </cell>
          <cell r="F8">
            <v>-38166946</v>
          </cell>
          <cell r="G8">
            <v>-37948145</v>
          </cell>
        </row>
        <row r="9">
          <cell r="B9" t="str">
            <v>Otras ganancias (pérdidas)</v>
          </cell>
          <cell r="C9">
            <v>27</v>
          </cell>
          <cell r="D9">
            <v>2501752</v>
          </cell>
          <cell r="E9">
            <v>-1891317</v>
          </cell>
          <cell r="F9">
            <v>-648828</v>
          </cell>
          <cell r="G9">
            <v>-1279921</v>
          </cell>
        </row>
        <row r="10">
          <cell r="B10" t="str">
            <v>Ganancias de actividades operacionales</v>
          </cell>
          <cell r="D10">
            <v>144773122</v>
          </cell>
          <cell r="E10">
            <v>140528062</v>
          </cell>
          <cell r="F10">
            <v>50416318</v>
          </cell>
          <cell r="G10">
            <v>54641736</v>
          </cell>
        </row>
        <row r="11">
          <cell r="B11" t="str">
            <v>Ingresos financieros</v>
          </cell>
          <cell r="C11">
            <v>27</v>
          </cell>
          <cell r="D11">
            <v>4965810</v>
          </cell>
          <cell r="E11">
            <v>10652158</v>
          </cell>
          <cell r="F11">
            <v>2947775</v>
          </cell>
          <cell r="G11">
            <v>5368493</v>
          </cell>
        </row>
        <row r="12">
          <cell r="B12" t="str">
            <v>Costos financieros</v>
          </cell>
          <cell r="C12">
            <v>27</v>
          </cell>
          <cell r="D12">
            <v>-23932819</v>
          </cell>
          <cell r="E12">
            <v>-24265318</v>
          </cell>
          <cell r="F12">
            <v>-12376948</v>
          </cell>
          <cell r="G12">
            <v>-12511662</v>
          </cell>
        </row>
        <row r="13">
          <cell r="B13" t="str">
            <v>Ganancias por deterioro y reversos de pérdidas por deterioro (Pérdidas por deterioro) determinado de acuerdo con NIIF 9  sobre activos financieros</v>
          </cell>
          <cell r="C13">
            <v>24</v>
          </cell>
          <cell r="D13">
            <v>-6587500</v>
          </cell>
          <cell r="E13">
            <v>-8186340</v>
          </cell>
          <cell r="F13">
            <v>-2562064</v>
          </cell>
          <cell r="G13">
            <v>-5067079</v>
          </cell>
        </row>
        <row r="14">
          <cell r="B14" t="str">
            <v>Ganancias (pérdidas) de cambio en moneda extranjera</v>
          </cell>
          <cell r="C14">
            <v>28</v>
          </cell>
          <cell r="D14">
            <v>466832</v>
          </cell>
          <cell r="E14">
            <v>501329</v>
          </cell>
          <cell r="F14">
            <v>479132</v>
          </cell>
          <cell r="G14">
            <v>429880</v>
          </cell>
        </row>
        <row r="15">
          <cell r="B15" t="str">
            <v>Resultado por unidades reajustables</v>
          </cell>
          <cell r="C15">
            <v>29</v>
          </cell>
          <cell r="D15">
            <v>-21464380</v>
          </cell>
          <cell r="E15">
            <v>-26761347</v>
          </cell>
          <cell r="F15">
            <v>-13117723</v>
          </cell>
          <cell r="G15">
            <v>-13432031</v>
          </cell>
        </row>
        <row r="16">
          <cell r="B16" t="str">
            <v>Participación en las ganancias (pérdidas) de asociadas y negocion conjuntos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B17" t="str">
            <v>Ganancia antes de impuestos</v>
          </cell>
          <cell r="D17">
            <v>98221065</v>
          </cell>
          <cell r="E17">
            <v>92468544</v>
          </cell>
          <cell r="F17">
            <v>25786490</v>
          </cell>
          <cell r="G17">
            <v>29429337</v>
          </cell>
        </row>
        <row r="18">
          <cell r="B18" t="str">
            <v>Gastos por impuestos a las ganancias</v>
          </cell>
          <cell r="C18">
            <v>15</v>
          </cell>
          <cell r="D18">
            <v>-21712759</v>
          </cell>
          <cell r="E18">
            <v>-18044579</v>
          </cell>
          <cell r="F18">
            <v>-4188179</v>
          </cell>
          <cell r="G18">
            <v>-3918309</v>
          </cell>
        </row>
        <row r="19">
          <cell r="B19" t="str">
            <v>Ganancia procedente de operaciones continuadas</v>
          </cell>
          <cell r="D19">
            <v>76508306</v>
          </cell>
          <cell r="E19">
            <v>74423965</v>
          </cell>
          <cell r="F19">
            <v>21598311</v>
          </cell>
          <cell r="G19">
            <v>25511028</v>
          </cell>
        </row>
        <row r="20">
          <cell r="B20" t="str">
            <v>Ganancia (pérdida) procedente de operaciones discontinuadas</v>
          </cell>
          <cell r="C20">
            <v>29</v>
          </cell>
          <cell r="D20">
            <v>0</v>
          </cell>
          <cell r="E20">
            <v>0</v>
          </cell>
          <cell r="F20">
            <v>0</v>
          </cell>
        </row>
        <row r="22">
          <cell r="B22" t="str">
            <v>Ganancia</v>
          </cell>
          <cell r="D22">
            <v>76508306</v>
          </cell>
          <cell r="E22">
            <v>74423965</v>
          </cell>
          <cell r="F22">
            <v>21598311</v>
          </cell>
          <cell r="G22">
            <v>25511028</v>
          </cell>
        </row>
        <row r="23">
          <cell r="B23" t="str">
            <v>Ganancia atribuible a</v>
          </cell>
        </row>
        <row r="24">
          <cell r="B24" t="str">
            <v>Ganancia atribuible a los propietarios de la controladora</v>
          </cell>
          <cell r="D24">
            <v>76507078</v>
          </cell>
          <cell r="E24">
            <v>74422782</v>
          </cell>
          <cell r="F24">
            <v>21598010</v>
          </cell>
          <cell r="G24">
            <v>25510664</v>
          </cell>
        </row>
        <row r="25">
          <cell r="B25" t="str">
            <v>Ganancia, atribuible a participaciones no controladora</v>
          </cell>
          <cell r="C25">
            <v>22</v>
          </cell>
          <cell r="D25">
            <v>1228</v>
          </cell>
          <cell r="E25">
            <v>1183</v>
          </cell>
          <cell r="F25">
            <v>301</v>
          </cell>
          <cell r="G25">
            <v>364</v>
          </cell>
        </row>
        <row r="26">
          <cell r="B26" t="str">
            <v xml:space="preserve">Ganancia </v>
          </cell>
          <cell r="D26">
            <v>76508306</v>
          </cell>
          <cell r="E26">
            <v>74423965</v>
          </cell>
          <cell r="F26">
            <v>21598311</v>
          </cell>
          <cell r="G26">
            <v>25511028</v>
          </cell>
        </row>
        <row r="27">
          <cell r="B27" t="str">
            <v xml:space="preserve">Ganancias por acción </v>
          </cell>
        </row>
        <row r="28">
          <cell r="B28" t="str">
            <v>Ganancias por acción básica en operaciones continuadas ($)</v>
          </cell>
          <cell r="C28">
            <v>31</v>
          </cell>
          <cell r="D28">
            <v>12.503</v>
          </cell>
          <cell r="E28">
            <v>12.163</v>
          </cell>
          <cell r="F28">
            <v>3.5289999999999999</v>
          </cell>
          <cell r="G28">
            <v>4.1690000000000005</v>
          </cell>
        </row>
        <row r="29">
          <cell r="B29" t="str">
            <v>Ganancias por acción básica ($)</v>
          </cell>
          <cell r="D29">
            <v>12.503</v>
          </cell>
          <cell r="E29">
            <v>12.163</v>
          </cell>
          <cell r="F29">
            <v>3.5289999999999999</v>
          </cell>
          <cell r="G29">
            <v>4.1690000000000005</v>
          </cell>
        </row>
        <row r="30">
          <cell r="F30">
            <v>71754.186046511633</v>
          </cell>
          <cell r="G30">
            <v>70084.241758241755</v>
          </cell>
        </row>
        <row r="31">
          <cell r="B31" t="str">
            <v>ESTADOS DE RESULTADOS INTEGRALES</v>
          </cell>
          <cell r="C31" t="str">
            <v>Nota</v>
          </cell>
          <cell r="D31">
            <v>45473</v>
          </cell>
          <cell r="E31">
            <v>45107</v>
          </cell>
          <cell r="F31" t="str">
            <v>01-04-2024
30-06-2024</v>
          </cell>
          <cell r="G31" t="str">
            <v>01-04-2023
30-06-2023</v>
          </cell>
        </row>
        <row r="32">
          <cell r="D32" t="str">
            <v>M$</v>
          </cell>
          <cell r="E32" t="str">
            <v>M$</v>
          </cell>
          <cell r="F32" t="str">
            <v>M$</v>
          </cell>
          <cell r="G32" t="str">
            <v>M$</v>
          </cell>
        </row>
        <row r="34">
          <cell r="B34" t="str">
            <v>Ganancia</v>
          </cell>
          <cell r="D34">
            <v>76508306</v>
          </cell>
          <cell r="E34">
            <v>74423965</v>
          </cell>
          <cell r="F34">
            <v>21598311</v>
          </cell>
          <cell r="G34">
            <v>25511028</v>
          </cell>
        </row>
        <row r="35">
          <cell r="B35" t="str">
            <v>OTRO RESULTADO INTEGRAL</v>
          </cell>
        </row>
        <row r="36">
          <cell r="B36" t="str">
            <v>Componentes de otro resultado integral que no se reclasificarán al resultado del período, antes de impuestos</v>
          </cell>
        </row>
        <row r="37">
          <cell r="B37" t="str">
            <v>Ganancias (pérdidas) por revaluación de terrenos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B38" t="str">
            <v>Ganancias (pérdidas) actuariales por planes de beneficios definidos</v>
          </cell>
          <cell r="C38">
            <v>19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B39" t="str">
            <v>Otro resultado integral que no se reclasificará al resultado del período, antes de impuestos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1">
          <cell r="B41" t="str">
            <v>Componentes de otro resultado integral que se reclasificarán al resultado del período, antes de impuestos</v>
          </cell>
        </row>
        <row r="42">
          <cell r="B42" t="str">
            <v xml:space="preserve">Coberturas de flujo de efectivo </v>
          </cell>
        </row>
        <row r="43">
          <cell r="B43" t="str">
            <v>Ganancias (pérdidas) por coberturas de flujos de efectivo</v>
          </cell>
          <cell r="D43">
            <v>485629</v>
          </cell>
          <cell r="E43">
            <v>4563311</v>
          </cell>
          <cell r="F43">
            <v>-1179607</v>
          </cell>
          <cell r="G43">
            <v>966272</v>
          </cell>
        </row>
        <row r="44">
          <cell r="B44" t="str">
            <v>Total otro resultado integral que se reclasificará al resultado del periodo</v>
          </cell>
          <cell r="D44">
            <v>485629</v>
          </cell>
          <cell r="E44">
            <v>4563311</v>
          </cell>
          <cell r="F44">
            <v>-1179607</v>
          </cell>
          <cell r="G44">
            <v>966272</v>
          </cell>
        </row>
        <row r="46">
          <cell r="B46" t="str">
            <v>Otros componentes de otro resultado integral, antes de impuestos</v>
          </cell>
          <cell r="D46">
            <v>485629</v>
          </cell>
          <cell r="E46">
            <v>4563311</v>
          </cell>
          <cell r="F46">
            <v>-1179607</v>
          </cell>
        </row>
        <row r="48">
          <cell r="B48" t="str">
            <v>Impuestos a las ganancias relativos a componentes de otro resultado integral que no se reclasificará al resultado del período</v>
          </cell>
        </row>
        <row r="49">
          <cell r="B49" t="str">
            <v>Impuesto a las ganancias (Pérdidas) relacionado con la revaluación de terrenos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B50" t="str">
            <v>Impuesto a las ganancias (Pérdidas) relacionado con planes de beneficios definidos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B51" t="str">
            <v>Total Impuestos a las ganancias relativos a componentes de otro resultado integral que no se reclasificará al resultado del período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3">
          <cell r="B53" t="str">
            <v>Impuestos a las ganancias relativos a componentes de otro resultado integral que se reclasificará al resultado del período</v>
          </cell>
        </row>
        <row r="54">
          <cell r="B54" t="str">
            <v>Impuestos Ganancias (pérdidas) por coberturas de flujos de efectivo</v>
          </cell>
          <cell r="D54">
            <v>-131120</v>
          </cell>
          <cell r="E54">
            <v>-1232094</v>
          </cell>
          <cell r="F54">
            <v>318494</v>
          </cell>
          <cell r="G54">
            <v>-260893</v>
          </cell>
        </row>
        <row r="55">
          <cell r="B55" t="str">
            <v>Total Impuestos a las ganancias relativos a componentes de otro resultado integral que no se reclasificará al resultado del período</v>
          </cell>
          <cell r="D55">
            <v>-131120</v>
          </cell>
          <cell r="E55">
            <v>-1232094</v>
          </cell>
          <cell r="F55">
            <v>318494</v>
          </cell>
        </row>
        <row r="57">
          <cell r="B57" t="str">
            <v xml:space="preserve">Total otro resultado integral </v>
          </cell>
          <cell r="D57">
            <v>354509</v>
          </cell>
          <cell r="E57">
            <v>3331217</v>
          </cell>
          <cell r="F57">
            <v>-861113</v>
          </cell>
          <cell r="G57">
            <v>0</v>
          </cell>
        </row>
        <row r="59">
          <cell r="B59" t="str">
            <v>TOTAL RESULTADO INTEGRAL</v>
          </cell>
          <cell r="D59">
            <v>76862815</v>
          </cell>
          <cell r="E59">
            <v>77755182</v>
          </cell>
          <cell r="F59">
            <v>20737198</v>
          </cell>
          <cell r="G59">
            <v>25511028</v>
          </cell>
        </row>
        <row r="60">
          <cell r="B60" t="str">
            <v>Resultado integral atribuible a:</v>
          </cell>
        </row>
        <row r="61">
          <cell r="B61" t="str">
            <v>Resultado integral atribuible a los propietarios de la controladora</v>
          </cell>
          <cell r="D61">
            <v>76861587</v>
          </cell>
          <cell r="E61">
            <v>77753999</v>
          </cell>
          <cell r="F61">
            <v>20736897</v>
          </cell>
          <cell r="G61">
            <v>26216043</v>
          </cell>
        </row>
        <row r="62">
          <cell r="B62" t="str">
            <v>Resultado integral atribuible a participaciones no controladoras</v>
          </cell>
          <cell r="D62">
            <v>1228</v>
          </cell>
          <cell r="E62">
            <v>1183</v>
          </cell>
          <cell r="F62">
            <v>301</v>
          </cell>
          <cell r="G62">
            <v>364</v>
          </cell>
        </row>
        <row r="63">
          <cell r="B63" t="str">
            <v>Resultado integral total</v>
          </cell>
          <cell r="D63">
            <v>76862815</v>
          </cell>
          <cell r="E63">
            <v>77755182</v>
          </cell>
          <cell r="F63">
            <v>20737198</v>
          </cell>
          <cell r="G63">
            <v>26216407</v>
          </cell>
        </row>
        <row r="65">
          <cell r="D65">
            <v>0</v>
          </cell>
        </row>
      </sheetData>
      <sheetData sheetId="3"/>
      <sheetData sheetId="4">
        <row r="3">
          <cell r="B3" t="str">
            <v>Estado de Flujo de efectivo directo</v>
          </cell>
          <cell r="C3" t="str">
            <v>Nota</v>
          </cell>
          <cell r="D3">
            <v>45473</v>
          </cell>
          <cell r="E3">
            <v>45107</v>
          </cell>
        </row>
        <row r="4">
          <cell r="D4" t="str">
            <v>M$</v>
          </cell>
          <cell r="E4" t="str">
            <v>M$</v>
          </cell>
        </row>
        <row r="5">
          <cell r="B5" t="str">
            <v>Cobros procedentes de las ventas de bienes y prestación de servicios</v>
          </cell>
          <cell r="D5">
            <v>403836102</v>
          </cell>
          <cell r="E5">
            <v>393820914</v>
          </cell>
        </row>
        <row r="6">
          <cell r="B6" t="str">
            <v>Cobros procedentes de regalías, cuotas, comisiones y otros ingresos de actividades ordinarias</v>
          </cell>
          <cell r="D6">
            <v>0</v>
          </cell>
          <cell r="E6">
            <v>0</v>
          </cell>
        </row>
        <row r="7">
          <cell r="B7" t="str">
            <v>Cobros procedentes de contratos mantenidos con propósitos de intermediación o para negociar</v>
          </cell>
          <cell r="D7">
            <v>0</v>
          </cell>
          <cell r="E7">
            <v>0</v>
          </cell>
        </row>
        <row r="8">
          <cell r="B8" t="str">
            <v>Cobros procedentes de primas y prestaciones, anualidades y otros beneficios de pólizas suscritas</v>
          </cell>
          <cell r="D8">
            <v>0</v>
          </cell>
          <cell r="E8">
            <v>0</v>
          </cell>
        </row>
        <row r="9">
          <cell r="B9" t="str">
            <v>Otros cobros por actividades de operación</v>
          </cell>
          <cell r="D9">
            <v>5866449</v>
          </cell>
          <cell r="E9">
            <v>2197245</v>
          </cell>
        </row>
        <row r="10">
          <cell r="B10" t="str">
            <v xml:space="preserve">Clases de cobros por actividades de operación </v>
          </cell>
          <cell r="D10">
            <v>409702551</v>
          </cell>
          <cell r="E10">
            <v>396018159</v>
          </cell>
        </row>
        <row r="11">
          <cell r="B11" t="str">
            <v>Pagos a proveedores por el suministro de bienes y servicios</v>
          </cell>
          <cell r="D11">
            <v>-141286632</v>
          </cell>
          <cell r="E11">
            <v>-136314012</v>
          </cell>
        </row>
        <row r="12">
          <cell r="B12" t="str">
            <v>Pagos procedentes de contratos mantenidos para intermediación o para negociar</v>
          </cell>
          <cell r="D12">
            <v>0</v>
          </cell>
          <cell r="E12">
            <v>0</v>
          </cell>
        </row>
        <row r="13">
          <cell r="B13" t="str">
            <v>Pagos a y por cuenta de los empleados</v>
          </cell>
          <cell r="D13">
            <v>-40446841</v>
          </cell>
          <cell r="E13">
            <v>-38999500</v>
          </cell>
        </row>
        <row r="14">
          <cell r="B14" t="str">
            <v>Pagos por primas y prestaciones, anualidades y otras obligaciones derivadas de las pólizas suscritas</v>
          </cell>
          <cell r="D14">
            <v>0</v>
          </cell>
          <cell r="E14">
            <v>0</v>
          </cell>
        </row>
        <row r="15">
          <cell r="B15" t="str">
            <v>Otros pagos por actividades de operación</v>
          </cell>
          <cell r="D15">
            <v>-33367608</v>
          </cell>
          <cell r="E15">
            <v>-31827850</v>
          </cell>
        </row>
        <row r="16">
          <cell r="B16" t="str">
            <v>Clases de pagos en efectivo procedentes de actividades de operación</v>
          </cell>
          <cell r="D16">
            <v>-215101081</v>
          </cell>
          <cell r="E16">
            <v>-207141362</v>
          </cell>
        </row>
        <row r="17">
          <cell r="B17" t="str">
            <v>Dividendos pagados - actividades de operación</v>
          </cell>
          <cell r="D17">
            <v>0</v>
          </cell>
          <cell r="E17">
            <v>0</v>
          </cell>
        </row>
        <row r="18">
          <cell r="B18" t="str">
            <v>Dividendos recibidos - actividades de operación</v>
          </cell>
          <cell r="D18">
            <v>0</v>
          </cell>
          <cell r="E18">
            <v>0</v>
          </cell>
        </row>
        <row r="19">
          <cell r="B19" t="str">
            <v>Intereses pagados - actividades de operación</v>
          </cell>
          <cell r="D19">
            <v>-22569771</v>
          </cell>
          <cell r="E19">
            <v>-24123985</v>
          </cell>
        </row>
        <row r="20">
          <cell r="B20" t="str">
            <v>Intereses recibidos - actividades de operación</v>
          </cell>
          <cell r="D20">
            <v>3195945</v>
          </cell>
          <cell r="E20">
            <v>9401101</v>
          </cell>
        </row>
        <row r="21">
          <cell r="B21" t="str">
            <v xml:space="preserve">Impuestos a las ganancias (pagados) </v>
          </cell>
          <cell r="D21">
            <v>-20737775</v>
          </cell>
          <cell r="E21">
            <v>-30392773</v>
          </cell>
        </row>
        <row r="22">
          <cell r="B22" t="str">
            <v>Otras entradas (salidas) de efectivo - actividades de operación</v>
          </cell>
          <cell r="D22">
            <v>-4970871</v>
          </cell>
          <cell r="E22">
            <v>-11264440</v>
          </cell>
        </row>
        <row r="23">
          <cell r="B23" t="str">
            <v>Flujos de efectivo procedentes de (utilizados en) actividades de operación</v>
          </cell>
          <cell r="D23">
            <v>149518998</v>
          </cell>
          <cell r="E23">
            <v>132496700</v>
          </cell>
        </row>
        <row r="24">
          <cell r="B24" t="str">
            <v>Flujos de efectivo procedentes de la pérdida de control de subsidiarias u otros negocios</v>
          </cell>
          <cell r="D24">
            <v>0</v>
          </cell>
          <cell r="E24">
            <v>0</v>
          </cell>
        </row>
        <row r="25">
          <cell r="B25" t="str">
            <v>Flujos de efectivo utilizados para obtener el control de subsidiarias u otros negocios</v>
          </cell>
          <cell r="D25">
            <v>0</v>
          </cell>
          <cell r="E25">
            <v>0</v>
          </cell>
        </row>
        <row r="26">
          <cell r="B26" t="str">
            <v>Flujos de efectivo utilizados en la compra de participaciones no controladoras</v>
          </cell>
          <cell r="D26">
            <v>0</v>
          </cell>
          <cell r="E26">
            <v>0</v>
          </cell>
        </row>
        <row r="27">
          <cell r="B27" t="str">
            <v>Otros cobros por la venta de patrimonio o instrumentos de deuda de otras entidades</v>
          </cell>
          <cell r="D27">
            <v>0</v>
          </cell>
          <cell r="E27">
            <v>0</v>
          </cell>
        </row>
        <row r="28">
          <cell r="B28" t="str">
            <v>Otros pagos para adquirir patrimonio o instrumentos de deuda de otras entidades</v>
          </cell>
          <cell r="D28">
            <v>0</v>
          </cell>
          <cell r="E28">
            <v>0</v>
          </cell>
        </row>
        <row r="29">
          <cell r="B29" t="str">
            <v>Otros cobros por la venta de participaciones en negocios conjuntos</v>
          </cell>
          <cell r="D29">
            <v>0</v>
          </cell>
          <cell r="E29">
            <v>0</v>
          </cell>
        </row>
        <row r="30">
          <cell r="B30" t="str">
            <v>Otros pagos para adquirir participaciones en negocios conjuntos</v>
          </cell>
          <cell r="D30">
            <v>0</v>
          </cell>
          <cell r="E30">
            <v>0</v>
          </cell>
        </row>
        <row r="31">
          <cell r="B31" t="str">
            <v>Préstamos a entidades relacionadas</v>
          </cell>
          <cell r="D31">
            <v>0</v>
          </cell>
          <cell r="E31">
            <v>0</v>
          </cell>
        </row>
        <row r="32">
          <cell r="B32" t="str">
            <v>Importes procedentes de ventas de propiedades, planta y equipo</v>
          </cell>
          <cell r="D32">
            <v>4056384</v>
          </cell>
          <cell r="E32">
            <v>4998196</v>
          </cell>
        </row>
        <row r="33">
          <cell r="B33" t="str">
            <v>Compras de propiedades, planta y equipo</v>
          </cell>
          <cell r="D33">
            <v>-99369959</v>
          </cell>
          <cell r="E33">
            <v>-67549350</v>
          </cell>
        </row>
        <row r="34">
          <cell r="B34" t="str">
            <v>Importes procedentes de ventas de activos intangibles</v>
          </cell>
        </row>
        <row r="35">
          <cell r="B35" t="str">
            <v>Compras de activos intangibles</v>
          </cell>
          <cell r="D35">
            <v>-2190079</v>
          </cell>
          <cell r="E35">
            <v>-2260943</v>
          </cell>
        </row>
        <row r="36">
          <cell r="B36" t="str">
            <v>Recursos por ventas de otros activos a largo plazo</v>
          </cell>
          <cell r="D36">
            <v>0</v>
          </cell>
          <cell r="E36">
            <v>0</v>
          </cell>
        </row>
        <row r="37">
          <cell r="B37" t="str">
            <v>Compras de otros activos a largo plazo</v>
          </cell>
          <cell r="D37">
            <v>0</v>
          </cell>
          <cell r="E37">
            <v>0</v>
          </cell>
        </row>
        <row r="38">
          <cell r="B38" t="str">
            <v>Importes procedentes de subvenciones del gobierno - inversión</v>
          </cell>
          <cell r="D38">
            <v>0</v>
          </cell>
          <cell r="E38">
            <v>0</v>
          </cell>
        </row>
        <row r="39">
          <cell r="B39" t="str">
            <v>Anticipos de efectivo y préstamos concedidos a terceros</v>
          </cell>
          <cell r="D39">
            <v>0</v>
          </cell>
          <cell r="E39">
            <v>0</v>
          </cell>
        </row>
        <row r="40">
          <cell r="B40" t="str">
            <v>Cobros procedentes del reembolso de anticipos y préstamos concedidos a terceros</v>
          </cell>
          <cell r="D40">
            <v>0</v>
          </cell>
          <cell r="E40">
            <v>0</v>
          </cell>
        </row>
        <row r="41">
          <cell r="B41" t="str">
            <v>Pagos derivados de contratos de futuro, a término, de opciones y de permuta financiera</v>
          </cell>
          <cell r="D41">
            <v>0</v>
          </cell>
          <cell r="E41">
            <v>0</v>
          </cell>
        </row>
        <row r="42">
          <cell r="B42" t="str">
            <v>Cobros procedentes de contratos de futuro, a término, de opciones y de permuta financiera</v>
          </cell>
          <cell r="D42">
            <v>0</v>
          </cell>
          <cell r="E42">
            <v>0</v>
          </cell>
        </row>
        <row r="43">
          <cell r="B43" t="str">
            <v>Cobros a entidades relacionadas</v>
          </cell>
          <cell r="D43">
            <v>0</v>
          </cell>
          <cell r="E43">
            <v>0</v>
          </cell>
        </row>
        <row r="44">
          <cell r="B44" t="str">
            <v>Dividendos recibidos</v>
          </cell>
          <cell r="D44">
            <v>0</v>
          </cell>
          <cell r="E44">
            <v>0</v>
          </cell>
        </row>
        <row r="45">
          <cell r="B45" t="str">
            <v>Intereses recibidos</v>
          </cell>
          <cell r="D45">
            <v>0</v>
          </cell>
          <cell r="E45">
            <v>0</v>
          </cell>
        </row>
        <row r="46">
          <cell r="B46" t="str">
            <v>Impuestos a las ganancias reembolsados (pagados) - inversión</v>
          </cell>
          <cell r="D46">
            <v>0</v>
          </cell>
          <cell r="E46">
            <v>0</v>
          </cell>
        </row>
        <row r="47">
          <cell r="B47" t="str">
            <v>Otras entradas (salidas) de efectivo - inversión</v>
          </cell>
          <cell r="D47">
            <v>0</v>
          </cell>
          <cell r="E47">
            <v>59090</v>
          </cell>
        </row>
        <row r="48">
          <cell r="B48" t="str">
            <v>Flujos de efectivo procedentes de (utilizados en) actividades de inversión</v>
          </cell>
          <cell r="D48">
            <v>-97503654</v>
          </cell>
          <cell r="E48">
            <v>-64753007</v>
          </cell>
        </row>
        <row r="49">
          <cell r="B49" t="str">
            <v>Importes procedentes de la emisión de acciones</v>
          </cell>
          <cell r="D49">
            <v>0</v>
          </cell>
          <cell r="E49">
            <v>0</v>
          </cell>
        </row>
        <row r="50">
          <cell r="B50" t="str">
            <v>Importes procedentes de la emisión de otros instrumentos de patrimonio</v>
          </cell>
          <cell r="D50">
            <v>0</v>
          </cell>
          <cell r="E50">
            <v>0</v>
          </cell>
        </row>
        <row r="51">
          <cell r="B51" t="str">
            <v>Pagos por adquirir o rescatar las acciones de la entidad</v>
          </cell>
          <cell r="D51">
            <v>0</v>
          </cell>
          <cell r="E51">
            <v>0</v>
          </cell>
        </row>
        <row r="52">
          <cell r="B52" t="str">
            <v>Pagos por otras participaciones en el patrimonio</v>
          </cell>
          <cell r="D52">
            <v>0</v>
          </cell>
          <cell r="E52">
            <v>0</v>
          </cell>
        </row>
        <row r="53">
          <cell r="B53" t="str">
            <v>Importes procedentes de préstamos de largo plazo</v>
          </cell>
          <cell r="D53">
            <v>108104922</v>
          </cell>
          <cell r="E53">
            <v>4832921</v>
          </cell>
        </row>
        <row r="54">
          <cell r="B54" t="str">
            <v>Importes procedentes de préstamos de corto plazo</v>
          </cell>
          <cell r="D54">
            <v>30000000</v>
          </cell>
          <cell r="E54">
            <v>0</v>
          </cell>
        </row>
        <row r="55">
          <cell r="B55" t="str">
            <v>Importes procedentes de préstamos, clasificados como actividades de financiación</v>
          </cell>
          <cell r="D55">
            <v>138104922</v>
          </cell>
          <cell r="E55">
            <v>4832921</v>
          </cell>
        </row>
        <row r="56">
          <cell r="B56" t="str">
            <v>Préstamos de entidades relacionadas</v>
          </cell>
          <cell r="D56">
            <v>0</v>
          </cell>
          <cell r="E56">
            <v>0</v>
          </cell>
        </row>
        <row r="57">
          <cell r="B57" t="str">
            <v>Reembolsos de préstamos</v>
          </cell>
          <cell r="D57">
            <v>-99756698</v>
          </cell>
          <cell r="E57">
            <v>-34617591</v>
          </cell>
        </row>
        <row r="58">
          <cell r="B58" t="str">
            <v>Pagos de pasivos por arrendamientos financieros</v>
          </cell>
          <cell r="D58">
            <v>0</v>
          </cell>
          <cell r="E58">
            <v>0</v>
          </cell>
        </row>
        <row r="59">
          <cell r="B59" t="str">
            <v>Pagos de préstamos a entidades relacionadas</v>
          </cell>
          <cell r="D59">
            <v>0</v>
          </cell>
          <cell r="E59">
            <v>0</v>
          </cell>
        </row>
        <row r="60">
          <cell r="B60" t="str">
            <v>Importes procedentes de subvenciones del gobierno</v>
          </cell>
          <cell r="D60">
            <v>0</v>
          </cell>
          <cell r="E60">
            <v>0</v>
          </cell>
        </row>
        <row r="61">
          <cell r="B61" t="str">
            <v>Dividendos pagados</v>
          </cell>
          <cell r="D61">
            <v>-90100417</v>
          </cell>
          <cell r="E61">
            <v>-52128174</v>
          </cell>
        </row>
        <row r="62">
          <cell r="B62" t="str">
            <v>Intereses pagados</v>
          </cell>
          <cell r="D62">
            <v>0</v>
          </cell>
          <cell r="E62">
            <v>0</v>
          </cell>
        </row>
        <row r="63">
          <cell r="B63" t="str">
            <v>Impuestos a las ganancias reembolsados (pagados)</v>
          </cell>
          <cell r="D63">
            <v>0</v>
          </cell>
          <cell r="E63">
            <v>0</v>
          </cell>
        </row>
        <row r="64">
          <cell r="B64" t="str">
            <v>Otras entradas (salidas) de efectivo</v>
          </cell>
          <cell r="D64">
            <v>-1659644</v>
          </cell>
          <cell r="E64">
            <v>0</v>
          </cell>
        </row>
        <row r="65">
          <cell r="B65" t="str">
            <v xml:space="preserve"> Flujos de efectivo procedentes de (utilizados en) actividades de financiación</v>
          </cell>
          <cell r="D65">
            <v>-53411837</v>
          </cell>
          <cell r="E65">
            <v>-81912844</v>
          </cell>
        </row>
        <row r="66">
          <cell r="B66" t="str">
            <v xml:space="preserve"> Incremento (disminución) en el efectivo y equivalentes al efectivo, antes del efecto de los cambios en la tasa de cambio </v>
          </cell>
          <cell r="D66">
            <v>-1396493</v>
          </cell>
          <cell r="E66">
            <v>-14169151</v>
          </cell>
        </row>
        <row r="67">
          <cell r="B67" t="str">
            <v>Efectos de la variación en la tasa de cambio sobre el efectivo y equivalentes al efectivo</v>
          </cell>
        </row>
        <row r="68">
          <cell r="B68" t="str">
            <v>Efectos de la variación en la tasa de cambio sobre el efectivo y equivalentes al efectivo</v>
          </cell>
          <cell r="D68">
            <v>0</v>
          </cell>
        </row>
        <row r="69">
          <cell r="B69" t="str">
            <v>Incremento (disminución) neto de efectivo y equivalentes al efectivo</v>
          </cell>
          <cell r="D69">
            <v>-1396493</v>
          </cell>
          <cell r="E69">
            <v>-14169151</v>
          </cell>
        </row>
        <row r="70">
          <cell r="B70" t="str">
            <v>Efectivo y equivalentes al efectivo al principio del periodo</v>
          </cell>
          <cell r="D70">
            <v>109156681</v>
          </cell>
          <cell r="E70">
            <v>179335341</v>
          </cell>
        </row>
        <row r="71">
          <cell r="B71" t="str">
            <v>Efectivo y equivalentes al efectivo al final del periodo</v>
          </cell>
          <cell r="C71">
            <v>4</v>
          </cell>
          <cell r="D71">
            <v>107760188</v>
          </cell>
          <cell r="E71">
            <v>165166190</v>
          </cell>
        </row>
        <row r="73">
          <cell r="D73">
            <v>0</v>
          </cell>
          <cell r="E73">
            <v>56009509</v>
          </cell>
        </row>
        <row r="74">
          <cell r="E74">
            <v>109156681</v>
          </cell>
        </row>
        <row r="76">
          <cell r="B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</row>
      </sheetData>
      <sheetData sheetId="5">
        <row r="6">
          <cell r="C6">
            <v>319727957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bolsadesantia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RowHeight="13.2"/>
  <sheetData/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92D050"/>
  </sheetPr>
  <dimension ref="A2:I69"/>
  <sheetViews>
    <sheetView showGridLines="0" topLeftCell="A49" zoomScale="90" zoomScaleNormal="90" workbookViewId="0">
      <selection activeCell="J50" sqref="J50"/>
    </sheetView>
  </sheetViews>
  <sheetFormatPr baseColWidth="10" defaultColWidth="11.44140625" defaultRowHeight="13.8"/>
  <cols>
    <col min="1" max="1" width="10.44140625" style="100" customWidth="1"/>
    <col min="2" max="2" width="56.5546875" style="118" customWidth="1"/>
    <col min="3" max="3" width="7.5546875" style="118" customWidth="1"/>
    <col min="4" max="5" width="14.44140625" style="118" customWidth="1"/>
    <col min="6" max="6" width="8" style="118" customWidth="1"/>
    <col min="7" max="7" width="12.5546875" style="274" bestFit="1" customWidth="1"/>
    <col min="8" max="8" width="11.44140625" style="279"/>
    <col min="9" max="9" width="11.44140625" style="100"/>
    <col min="10" max="10" width="13" style="100" bestFit="1" customWidth="1"/>
    <col min="11" max="16384" width="11.44140625" style="100"/>
  </cols>
  <sheetData>
    <row r="2" spans="1:9" ht="21.75" customHeight="1" thickBot="1"/>
    <row r="3" spans="1:9" s="91" customFormat="1" ht="18" customHeight="1">
      <c r="A3" s="117"/>
      <c r="B3" s="459" t="s">
        <v>105</v>
      </c>
      <c r="C3" s="461" t="s">
        <v>106</v>
      </c>
      <c r="D3" s="46">
        <v>45473</v>
      </c>
      <c r="E3" s="47">
        <v>45291</v>
      </c>
      <c r="F3" s="119"/>
      <c r="G3" s="463" t="s">
        <v>237</v>
      </c>
      <c r="H3" s="464"/>
    </row>
    <row r="4" spans="1:9" s="91" customFormat="1" ht="18" customHeight="1">
      <c r="A4" s="92"/>
      <c r="B4" s="460"/>
      <c r="C4" s="462"/>
      <c r="D4" s="48" t="s">
        <v>8</v>
      </c>
      <c r="E4" s="49" t="s">
        <v>8</v>
      </c>
      <c r="F4" s="120"/>
      <c r="G4" s="295" t="s">
        <v>8</v>
      </c>
      <c r="H4" s="296" t="s">
        <v>70</v>
      </c>
    </row>
    <row r="5" spans="1:9" s="91" customFormat="1" ht="21" customHeight="1">
      <c r="A5" s="92"/>
      <c r="B5" s="50" t="s">
        <v>107</v>
      </c>
      <c r="C5" s="51"/>
      <c r="D5" s="52"/>
      <c r="E5" s="53"/>
      <c r="F5" s="121"/>
      <c r="G5" s="275"/>
      <c r="H5" s="297"/>
    </row>
    <row r="6" spans="1:9" s="91" customFormat="1" ht="21" customHeight="1">
      <c r="A6" s="92"/>
      <c r="B6" s="54" t="s">
        <v>108</v>
      </c>
      <c r="C6" s="51">
        <v>4</v>
      </c>
      <c r="D6" s="280">
        <f>+VLOOKUP(B6,[3]Activo!$B:$E,3,0)</f>
        <v>107760188</v>
      </c>
      <c r="E6" s="280">
        <f>+VLOOKUP(B6,[3]Activo!$B:$E,4,0)</f>
        <v>109156681</v>
      </c>
      <c r="F6" s="122"/>
      <c r="G6" s="275">
        <f>ROUND(+(D6-E6),0)</f>
        <v>-1396493</v>
      </c>
      <c r="H6" s="297">
        <f>IFERROR(G6/E6,1)</f>
        <v>-1.2793472531470611E-2</v>
      </c>
      <c r="I6" s="91" t="s">
        <v>324</v>
      </c>
    </row>
    <row r="7" spans="1:9" s="91" customFormat="1" ht="21" customHeight="1">
      <c r="A7" s="92"/>
      <c r="B7" s="54" t="s">
        <v>245</v>
      </c>
      <c r="C7" s="51">
        <v>11</v>
      </c>
      <c r="D7" s="280">
        <f>+VLOOKUP(B7,[3]Activo!$B:$E,3,0)</f>
        <v>0</v>
      </c>
      <c r="E7" s="280">
        <f>+VLOOKUP(B7,[3]Activo!$B:$E,4,0)</f>
        <v>0</v>
      </c>
      <c r="F7" s="122"/>
      <c r="G7" s="275">
        <f t="shared" ref="G7:G14" si="0">ROUND(+(D7-E7),0)</f>
        <v>0</v>
      </c>
      <c r="H7" s="297">
        <f t="shared" ref="H7:H54" si="1">IFERROR(G7/E7,1)</f>
        <v>1</v>
      </c>
      <c r="I7" s="91" t="s">
        <v>325</v>
      </c>
    </row>
    <row r="8" spans="1:9" s="91" customFormat="1" ht="21" customHeight="1">
      <c r="A8" s="92"/>
      <c r="B8" s="54" t="s">
        <v>109</v>
      </c>
      <c r="C8" s="51">
        <v>10</v>
      </c>
      <c r="D8" s="280">
        <f>+VLOOKUP(B8,[3]Activo!$B:$E,3,0)</f>
        <v>5492450</v>
      </c>
      <c r="E8" s="280">
        <f>+VLOOKUP(B8,[3]Activo!$B:$E,4,0)</f>
        <v>7180555</v>
      </c>
      <c r="F8" s="122"/>
      <c r="G8" s="275">
        <f t="shared" si="0"/>
        <v>-1688105</v>
      </c>
      <c r="H8" s="297">
        <f t="shared" si="1"/>
        <v>-0.2350939446881195</v>
      </c>
      <c r="I8" s="278"/>
    </row>
    <row r="9" spans="1:9" s="91" customFormat="1" ht="21" customHeight="1">
      <c r="A9" s="92"/>
      <c r="B9" s="54" t="s">
        <v>110</v>
      </c>
      <c r="C9" s="51">
        <v>5</v>
      </c>
      <c r="D9" s="280">
        <f>+VLOOKUP(B9,[3]Activo!$B:$E,3,0)</f>
        <v>115947136</v>
      </c>
      <c r="E9" s="280">
        <f>+VLOOKUP(B9,[3]Activo!$B:$E,4,0)</f>
        <v>132007468</v>
      </c>
      <c r="F9" s="122"/>
      <c r="G9" s="275">
        <f t="shared" si="0"/>
        <v>-16060332</v>
      </c>
      <c r="H9" s="297">
        <f t="shared" si="1"/>
        <v>-0.12166229868146551</v>
      </c>
      <c r="I9" s="91" t="s">
        <v>326</v>
      </c>
    </row>
    <row r="10" spans="1:9" s="91" customFormat="1" ht="21" customHeight="1">
      <c r="A10" s="92"/>
      <c r="B10" s="54" t="s">
        <v>111</v>
      </c>
      <c r="C10" s="51">
        <v>6</v>
      </c>
      <c r="D10" s="280">
        <f>+VLOOKUP(B10,[3]Activo!$B:$E,3,0)</f>
        <v>36212</v>
      </c>
      <c r="E10" s="280">
        <f>+VLOOKUP(B10,[3]Activo!$B:$E,4,0)</f>
        <v>14381</v>
      </c>
      <c r="F10" s="122"/>
      <c r="G10" s="275">
        <f t="shared" si="0"/>
        <v>21831</v>
      </c>
      <c r="H10" s="297">
        <f t="shared" si="1"/>
        <v>1.5180446422362839</v>
      </c>
    </row>
    <row r="11" spans="1:9" s="91" customFormat="1" ht="21" customHeight="1">
      <c r="A11" s="92"/>
      <c r="B11" s="54" t="s">
        <v>112</v>
      </c>
      <c r="C11" s="51">
        <v>7</v>
      </c>
      <c r="D11" s="280">
        <f>+VLOOKUP(B11,[3]Activo!$B:$E,3,0)</f>
        <v>12846974</v>
      </c>
      <c r="E11" s="280">
        <f>+VLOOKUP(B11,[3]Activo!$B:$E,4,0)</f>
        <v>12812483</v>
      </c>
      <c r="F11" s="122"/>
      <c r="G11" s="275">
        <f t="shared" si="0"/>
        <v>34491</v>
      </c>
      <c r="H11" s="297">
        <f t="shared" si="1"/>
        <v>2.6919840596081181E-3</v>
      </c>
      <c r="I11" s="91" t="s">
        <v>327</v>
      </c>
    </row>
    <row r="12" spans="1:9" s="91" customFormat="1" ht="21" customHeight="1" thickBot="1">
      <c r="A12" s="92"/>
      <c r="B12" s="54" t="s">
        <v>340</v>
      </c>
      <c r="C12" s="51">
        <v>8</v>
      </c>
      <c r="D12" s="280">
        <f>+VLOOKUP(B12,[3]Activo!$B:$E,3,0)</f>
        <v>9230263</v>
      </c>
      <c r="E12" s="280">
        <f>+VLOOKUP(B12,[3]Activo!$B:$E,4,0)</f>
        <v>13829428</v>
      </c>
      <c r="F12" s="122"/>
      <c r="G12" s="275">
        <f t="shared" si="0"/>
        <v>-4599165</v>
      </c>
      <c r="H12" s="297">
        <f t="shared" si="1"/>
        <v>-0.33256364616092582</v>
      </c>
    </row>
    <row r="13" spans="1:9" s="91" customFormat="1" ht="36" customHeight="1" thickBot="1">
      <c r="A13" s="92"/>
      <c r="B13" s="56" t="s">
        <v>113</v>
      </c>
      <c r="C13" s="57"/>
      <c r="D13" s="282">
        <f>SUM(D6:D12)</f>
        <v>251313223</v>
      </c>
      <c r="E13" s="283">
        <f>SUM(E6:E12)</f>
        <v>275000996</v>
      </c>
      <c r="F13" s="123"/>
      <c r="G13" s="298">
        <f>ROUND(+(D13-E13),0)</f>
        <v>-23687773</v>
      </c>
      <c r="H13" s="299">
        <f t="shared" si="1"/>
        <v>-8.6137044390922859E-2</v>
      </c>
    </row>
    <row r="14" spans="1:9" s="91" customFormat="1" ht="21" customHeight="1" thickBot="1">
      <c r="A14" s="92"/>
      <c r="B14" s="54" t="s">
        <v>341</v>
      </c>
      <c r="C14" s="51">
        <v>9</v>
      </c>
      <c r="D14" s="280">
        <f>+VLOOKUP(B14,[3]Activo!$B:$E,3,0)</f>
        <v>0</v>
      </c>
      <c r="E14" s="280">
        <f>+VLOOKUP(B14,[3]Activo!$B:$E,4,0)</f>
        <v>3414</v>
      </c>
      <c r="F14" s="122"/>
      <c r="G14" s="275">
        <f t="shared" si="0"/>
        <v>-3414</v>
      </c>
      <c r="H14" s="297">
        <f t="shared" si="1"/>
        <v>-1</v>
      </c>
    </row>
    <row r="15" spans="1:9" s="91" customFormat="1" ht="21" customHeight="1" thickBot="1">
      <c r="A15" s="92"/>
      <c r="B15" s="58" t="s">
        <v>114</v>
      </c>
      <c r="C15" s="57"/>
      <c r="D15" s="284">
        <f>+D13+D14</f>
        <v>251313223</v>
      </c>
      <c r="E15" s="285">
        <f>+E13+E14</f>
        <v>275004410</v>
      </c>
      <c r="F15" s="125"/>
      <c r="G15" s="298">
        <f>ROUND(+(D15-E15),0)</f>
        <v>-23691187</v>
      </c>
      <c r="H15" s="299">
        <f t="shared" si="1"/>
        <v>-8.6148389402191772E-2</v>
      </c>
    </row>
    <row r="16" spans="1:9" s="91" customFormat="1" ht="21" customHeight="1">
      <c r="A16" s="92"/>
      <c r="B16" s="50" t="s">
        <v>281</v>
      </c>
      <c r="C16" s="59"/>
      <c r="D16" s="286"/>
      <c r="E16" s="287"/>
      <c r="F16" s="123"/>
      <c r="G16" s="275"/>
      <c r="H16" s="297"/>
    </row>
    <row r="17" spans="1:8" s="91" customFormat="1" ht="21" customHeight="1">
      <c r="A17" s="92"/>
      <c r="B17" s="54" t="s">
        <v>351</v>
      </c>
      <c r="C17" s="51">
        <v>11</v>
      </c>
      <c r="D17" s="280">
        <f>+VLOOKUP(B17,[3]Activo!$B:$E,3,0)</f>
        <v>11122826</v>
      </c>
      <c r="E17" s="280">
        <f>+VLOOKUP(B17,[3]Activo!$B:$E,4,0)</f>
        <v>7895863</v>
      </c>
      <c r="F17" s="122"/>
      <c r="G17" s="275">
        <f t="shared" ref="G17:G26" si="2">ROUND(+(D17-E17),0)</f>
        <v>3226963</v>
      </c>
      <c r="H17" s="297">
        <f t="shared" si="1"/>
        <v>0.40869034835077561</v>
      </c>
    </row>
    <row r="18" spans="1:8" s="91" customFormat="1" ht="21" customHeight="1">
      <c r="A18" s="92"/>
      <c r="B18" s="54" t="s">
        <v>350</v>
      </c>
      <c r="C18" s="51">
        <v>10</v>
      </c>
      <c r="D18" s="280">
        <f>+VLOOKUP(B18,[3]Activo!$B:$E,3,0)</f>
        <v>2583046</v>
      </c>
      <c r="E18" s="280">
        <f>+VLOOKUP(B18,[3]Activo!$B:$E,4,0)</f>
        <v>1481897</v>
      </c>
      <c r="F18" s="122"/>
      <c r="G18" s="275">
        <f t="shared" si="2"/>
        <v>1101149</v>
      </c>
      <c r="H18" s="297">
        <f t="shared" si="1"/>
        <v>0.74306716323739097</v>
      </c>
    </row>
    <row r="19" spans="1:8" s="91" customFormat="1" ht="21" customHeight="1">
      <c r="A19" s="92"/>
      <c r="B19" s="54" t="s">
        <v>246</v>
      </c>
      <c r="C19" s="51">
        <v>5</v>
      </c>
      <c r="D19" s="280">
        <f>+VLOOKUP(B19,[3]Activo!$B:$E,3,0)</f>
        <v>5293187</v>
      </c>
      <c r="E19" s="280">
        <f>+VLOOKUP(B19,[3]Activo!$B:$E,4,0)</f>
        <v>3778724</v>
      </c>
      <c r="F19" s="122"/>
      <c r="G19" s="275">
        <f t="shared" si="2"/>
        <v>1514463</v>
      </c>
      <c r="H19" s="297">
        <f t="shared" si="1"/>
        <v>0.40078687938044694</v>
      </c>
    </row>
    <row r="20" spans="1:8" s="91" customFormat="1" ht="21" customHeight="1">
      <c r="A20" s="92"/>
      <c r="B20" s="54" t="s">
        <v>305</v>
      </c>
      <c r="C20" s="51"/>
      <c r="D20" s="280">
        <f>+VLOOKUP(B20,[3]Activo!$B:$E,3,0)</f>
        <v>0</v>
      </c>
      <c r="E20" s="280">
        <f>+VLOOKUP(B20,[3]Activo!$B:$E,4,0)</f>
        <v>0</v>
      </c>
      <c r="F20" s="122"/>
      <c r="G20" s="275"/>
      <c r="H20" s="297"/>
    </row>
    <row r="21" spans="1:8" s="91" customFormat="1" ht="21" customHeight="1">
      <c r="A21" s="92"/>
      <c r="B21" s="54" t="s">
        <v>115</v>
      </c>
      <c r="C21" s="51">
        <v>12</v>
      </c>
      <c r="D21" s="280">
        <f>+VLOOKUP(B21,[3]Activo!$B:$E,3,0)</f>
        <v>230335074</v>
      </c>
      <c r="E21" s="280">
        <f>+VLOOKUP(B21,[3]Activo!$B:$E,4,0)</f>
        <v>231747713</v>
      </c>
      <c r="F21" s="122"/>
      <c r="G21" s="275">
        <f t="shared" si="2"/>
        <v>-1412639</v>
      </c>
      <c r="H21" s="297">
        <f t="shared" si="1"/>
        <v>-6.0955898192617767E-3</v>
      </c>
    </row>
    <row r="22" spans="1:8" s="91" customFormat="1" ht="21" customHeight="1">
      <c r="A22" s="92"/>
      <c r="B22" s="54" t="s">
        <v>116</v>
      </c>
      <c r="C22" s="51">
        <v>13</v>
      </c>
      <c r="D22" s="280">
        <f>+VLOOKUP(B22,[3]Activo!$B:$E,3,0)</f>
        <v>33823049</v>
      </c>
      <c r="E22" s="280">
        <f>+VLOOKUP(B22,[3]Activo!$B:$E,4,0)</f>
        <v>33823049</v>
      </c>
      <c r="F22" s="122"/>
      <c r="G22" s="275">
        <f t="shared" si="2"/>
        <v>0</v>
      </c>
      <c r="H22" s="297">
        <f t="shared" si="1"/>
        <v>0</v>
      </c>
    </row>
    <row r="23" spans="1:8" s="91" customFormat="1" ht="21" customHeight="1">
      <c r="A23" s="92"/>
      <c r="B23" s="54" t="s">
        <v>342</v>
      </c>
      <c r="C23" s="51">
        <v>14</v>
      </c>
      <c r="D23" s="280">
        <f>+VLOOKUP(B23,[3]Activo!$B:$E,3,0)</f>
        <v>1831047523</v>
      </c>
      <c r="E23" s="280">
        <f>+VLOOKUP(B23,[3]Activo!$B:$E,4,0)</f>
        <v>1805370932</v>
      </c>
      <c r="F23" s="122"/>
      <c r="G23" s="275">
        <f t="shared" si="2"/>
        <v>25676591</v>
      </c>
      <c r="H23" s="297">
        <f t="shared" si="1"/>
        <v>1.422233544635358E-2</v>
      </c>
    </row>
    <row r="24" spans="1:8" s="91" customFormat="1" ht="21" customHeight="1">
      <c r="A24" s="92"/>
      <c r="B24" s="54" t="s">
        <v>292</v>
      </c>
      <c r="C24" s="51">
        <v>15</v>
      </c>
      <c r="D24" s="280">
        <f>+VLOOKUP(B24,[3]Activo!$B:$E,3,0)</f>
        <v>4274555</v>
      </c>
      <c r="E24" s="280">
        <f>+VLOOKUP(B24,[3]Activo!$B:$E,4,0)</f>
        <v>4307072</v>
      </c>
      <c r="F24" s="122"/>
      <c r="G24" s="275">
        <f t="shared" ref="G24" si="3">ROUND(+(D24-E24),0)</f>
        <v>-32517</v>
      </c>
      <c r="H24" s="297">
        <f t="shared" ref="H24" si="4">IFERROR(G24/E24,1)</f>
        <v>-7.5496764391215195E-3</v>
      </c>
    </row>
    <row r="25" spans="1:8" s="91" customFormat="1" ht="21" customHeight="1" thickBot="1">
      <c r="A25" s="92"/>
      <c r="B25" s="54" t="s">
        <v>343</v>
      </c>
      <c r="C25" s="51">
        <v>16</v>
      </c>
      <c r="D25" s="280">
        <f>+VLOOKUP(B25,[3]Activo!$B:$E,3,0)</f>
        <v>63340672</v>
      </c>
      <c r="E25" s="280">
        <f>+VLOOKUP(B25,[3]Activo!$B:$E,4,0)</f>
        <v>59938069</v>
      </c>
      <c r="F25" s="122"/>
      <c r="G25" s="275">
        <f t="shared" si="2"/>
        <v>3402603</v>
      </c>
      <c r="H25" s="297">
        <f t="shared" si="1"/>
        <v>5.6768645649895727E-2</v>
      </c>
    </row>
    <row r="26" spans="1:8" s="91" customFormat="1" ht="21" customHeight="1" thickBot="1">
      <c r="A26" s="92"/>
      <c r="B26" s="60" t="s">
        <v>117</v>
      </c>
      <c r="C26" s="57"/>
      <c r="D26" s="282">
        <f>SUM(D17:D25)</f>
        <v>2181819932</v>
      </c>
      <c r="E26" s="283">
        <f>SUM(E17:E25)</f>
        <v>2148343319</v>
      </c>
      <c r="F26" s="123"/>
      <c r="G26" s="298">
        <f t="shared" si="2"/>
        <v>33476613</v>
      </c>
      <c r="H26" s="299">
        <f t="shared" si="1"/>
        <v>1.5582524778014775E-2</v>
      </c>
    </row>
    <row r="27" spans="1:8" s="92" customFormat="1" ht="11.25" customHeight="1" thickBot="1">
      <c r="A27" s="124"/>
      <c r="B27" s="54"/>
      <c r="C27" s="55"/>
      <c r="D27" s="280"/>
      <c r="E27" s="281"/>
      <c r="F27" s="122"/>
      <c r="G27" s="275"/>
      <c r="H27" s="297"/>
    </row>
    <row r="28" spans="1:8" s="91" customFormat="1" ht="21" customHeight="1" thickBot="1">
      <c r="B28" s="61" t="s">
        <v>247</v>
      </c>
      <c r="C28" s="62"/>
      <c r="D28" s="288">
        <f>+D15+D26</f>
        <v>2433133155</v>
      </c>
      <c r="E28" s="289">
        <f>+E15+E26</f>
        <v>2423347729</v>
      </c>
      <c r="F28" s="123"/>
      <c r="G28" s="298">
        <f>ROUND(+(D28-E28),0)</f>
        <v>9785426</v>
      </c>
      <c r="H28" s="299">
        <f t="shared" si="1"/>
        <v>4.0379784885588741E-3</v>
      </c>
    </row>
    <row r="29" spans="1:8">
      <c r="B29" s="126"/>
      <c r="C29" s="127"/>
      <c r="D29" s="128"/>
      <c r="E29" s="128"/>
      <c r="F29" s="128"/>
      <c r="G29" s="277"/>
      <c r="H29" s="297"/>
    </row>
    <row r="30" spans="1:8" ht="14.4" thickBot="1">
      <c r="B30" s="126"/>
      <c r="C30" s="127"/>
      <c r="D30" s="128"/>
      <c r="E30" s="128"/>
      <c r="F30" s="128"/>
      <c r="G30" s="277"/>
      <c r="H30" s="297"/>
    </row>
    <row r="31" spans="1:8" s="91" customFormat="1" ht="20.25" customHeight="1">
      <c r="A31" s="117"/>
      <c r="B31" s="459" t="s">
        <v>118</v>
      </c>
      <c r="C31" s="461" t="s">
        <v>106</v>
      </c>
      <c r="D31" s="46">
        <f>+D3</f>
        <v>45473</v>
      </c>
      <c r="E31" s="47">
        <f>+E3</f>
        <v>45291</v>
      </c>
      <c r="G31" s="275"/>
      <c r="H31" s="297"/>
    </row>
    <row r="32" spans="1:8" s="91" customFormat="1" ht="18" customHeight="1">
      <c r="A32" s="92"/>
      <c r="B32" s="460"/>
      <c r="C32" s="462"/>
      <c r="D32" s="48" t="s">
        <v>8</v>
      </c>
      <c r="E32" s="49" t="s">
        <v>8</v>
      </c>
      <c r="G32" s="275"/>
      <c r="H32" s="297"/>
    </row>
    <row r="33" spans="1:9" s="91" customFormat="1" ht="18" customHeight="1">
      <c r="A33" s="92"/>
      <c r="B33" s="50" t="s">
        <v>119</v>
      </c>
      <c r="C33" s="63"/>
      <c r="D33" s="52"/>
      <c r="E33" s="53"/>
      <c r="G33" s="275"/>
      <c r="H33" s="297"/>
    </row>
    <row r="34" spans="1:9" s="92" customFormat="1" ht="18" customHeight="1">
      <c r="B34" s="54" t="s">
        <v>354</v>
      </c>
      <c r="C34" s="51">
        <v>17</v>
      </c>
      <c r="D34" s="280">
        <f>+VLOOKUP(B34,[3]Pasivo!$B:$E,3,0)</f>
        <v>89471870</v>
      </c>
      <c r="E34" s="280">
        <f>+VLOOKUP(B34,[3]Pasivo!$B:$E,4,0)</f>
        <v>155416801</v>
      </c>
      <c r="F34" s="91"/>
      <c r="G34" s="275">
        <f t="shared" ref="G34:G42" si="5">ROUND(+(D34-E34),0)</f>
        <v>-65944931</v>
      </c>
      <c r="H34" s="297">
        <f t="shared" si="1"/>
        <v>-0.42431018123967179</v>
      </c>
      <c r="I34" s="92" t="s">
        <v>328</v>
      </c>
    </row>
    <row r="35" spans="1:9" s="92" customFormat="1" ht="18" customHeight="1">
      <c r="B35" s="54" t="s">
        <v>293</v>
      </c>
      <c r="C35" s="51">
        <v>15</v>
      </c>
      <c r="D35" s="280">
        <f>+VLOOKUP(B35,[3]Pasivo!$B:$E,3,0)</f>
        <v>1825574</v>
      </c>
      <c r="E35" s="280">
        <f>+VLOOKUP(B35,[3]Pasivo!$B:$E,4,0)</f>
        <v>1752912</v>
      </c>
      <c r="F35" s="91"/>
      <c r="G35" s="275">
        <f t="shared" ref="G35" si="6">ROUND(+(D35-E35),0)</f>
        <v>72662</v>
      </c>
      <c r="H35" s="297">
        <f t="shared" ref="H35" si="7">IFERROR(G35/E35,1)</f>
        <v>4.1452166452166449E-2</v>
      </c>
    </row>
    <row r="36" spans="1:9" s="92" customFormat="1" ht="18" customHeight="1">
      <c r="B36" s="54" t="s">
        <v>344</v>
      </c>
      <c r="C36" s="51">
        <v>18</v>
      </c>
      <c r="D36" s="280">
        <f>+VLOOKUP(B36,[3]Pasivo!$B:$E,3,0)</f>
        <v>141313694</v>
      </c>
      <c r="E36" s="280">
        <f>+VLOOKUP(B36,[3]Pasivo!$B:$E,4,0)</f>
        <v>177288051</v>
      </c>
      <c r="F36" s="91"/>
      <c r="G36" s="275">
        <f t="shared" si="5"/>
        <v>-35974357</v>
      </c>
      <c r="H36" s="297">
        <f t="shared" si="1"/>
        <v>-0.20291472999497298</v>
      </c>
      <c r="I36" s="91" t="s">
        <v>329</v>
      </c>
    </row>
    <row r="37" spans="1:9" s="92" customFormat="1" ht="18" customHeight="1">
      <c r="B37" s="54" t="s">
        <v>120</v>
      </c>
      <c r="C37" s="51">
        <v>6</v>
      </c>
      <c r="D37" s="280">
        <f>+VLOOKUP(B37,[3]Pasivo!$B:$E,3,0)</f>
        <v>1192974</v>
      </c>
      <c r="E37" s="280">
        <f>+VLOOKUP(B37,[3]Pasivo!$B:$E,4,0)</f>
        <v>1578553</v>
      </c>
      <c r="F37" s="91"/>
      <c r="G37" s="275">
        <f t="shared" si="5"/>
        <v>-385579</v>
      </c>
      <c r="H37" s="297">
        <f t="shared" si="1"/>
        <v>-0.24426104159949016</v>
      </c>
    </row>
    <row r="38" spans="1:9" s="92" customFormat="1" ht="18" customHeight="1">
      <c r="B38" s="54" t="s">
        <v>124</v>
      </c>
      <c r="C38" s="51">
        <v>19</v>
      </c>
      <c r="D38" s="280">
        <f>+VLOOKUP(B38,[3]Pasivo!$B:$E,3,0)</f>
        <v>735780</v>
      </c>
      <c r="E38" s="280">
        <f>+VLOOKUP(B38,[3]Pasivo!$B:$E,4,0)</f>
        <v>735780</v>
      </c>
      <c r="F38" s="91"/>
      <c r="G38" s="275">
        <f t="shared" si="5"/>
        <v>0</v>
      </c>
      <c r="H38" s="297">
        <f t="shared" si="1"/>
        <v>0</v>
      </c>
    </row>
    <row r="39" spans="1:9" s="92" customFormat="1" ht="18" customHeight="1">
      <c r="B39" s="54" t="s">
        <v>121</v>
      </c>
      <c r="C39" s="51">
        <v>8</v>
      </c>
      <c r="D39" s="280">
        <f>+VLOOKUP(B39,[3]Pasivo!$B:$E,3,0)</f>
        <v>240035</v>
      </c>
      <c r="E39" s="280">
        <f>+VLOOKUP(B39,[3]Pasivo!$B:$E,4,0)</f>
        <v>240748</v>
      </c>
      <c r="F39" s="91"/>
      <c r="G39" s="275">
        <f t="shared" si="5"/>
        <v>-713</v>
      </c>
      <c r="H39" s="297">
        <f t="shared" si="1"/>
        <v>-2.9616030039709574E-3</v>
      </c>
    </row>
    <row r="40" spans="1:9" s="92" customFormat="1" ht="18" customHeight="1">
      <c r="B40" s="54" t="s">
        <v>345</v>
      </c>
      <c r="C40" s="51">
        <v>20</v>
      </c>
      <c r="D40" s="280">
        <f>+VLOOKUP(B40,[3]Pasivo!$B:$E,3,0)</f>
        <v>3755138</v>
      </c>
      <c r="E40" s="280">
        <f>+VLOOKUP(B40,[3]Pasivo!$B:$E,4,0)</f>
        <v>5955720</v>
      </c>
      <c r="F40" s="91"/>
      <c r="G40" s="275">
        <f t="shared" si="5"/>
        <v>-2200582</v>
      </c>
      <c r="H40" s="297">
        <f t="shared" si="1"/>
        <v>-0.3694905066054146</v>
      </c>
    </row>
    <row r="41" spans="1:9" s="92" customFormat="1" ht="18" customHeight="1" thickBot="1">
      <c r="B41" s="54" t="s">
        <v>236</v>
      </c>
      <c r="C41" s="51">
        <v>21</v>
      </c>
      <c r="D41" s="280">
        <f>+VLOOKUP(B41,[3]Pasivo!$B:$E,3,0)</f>
        <v>14305354</v>
      </c>
      <c r="E41" s="280">
        <f>+VLOOKUP(B41,[3]Pasivo!$B:$E,4,0)</f>
        <v>18699561</v>
      </c>
      <c r="F41" s="91"/>
      <c r="G41" s="275">
        <f t="shared" si="5"/>
        <v>-4394207</v>
      </c>
      <c r="H41" s="297">
        <f t="shared" si="1"/>
        <v>-0.23498984815739793</v>
      </c>
    </row>
    <row r="42" spans="1:9" s="91" customFormat="1" ht="42" thickBot="1">
      <c r="A42" s="92"/>
      <c r="B42" s="64" t="s">
        <v>282</v>
      </c>
      <c r="C42" s="57"/>
      <c r="D42" s="282">
        <f>SUM(D34:D41)</f>
        <v>252840419</v>
      </c>
      <c r="E42" s="283">
        <f>SUM(E34:E41)</f>
        <v>361668126</v>
      </c>
      <c r="G42" s="298">
        <f t="shared" si="5"/>
        <v>-108827707</v>
      </c>
      <c r="H42" s="299">
        <f t="shared" si="1"/>
        <v>-0.30090488814599048</v>
      </c>
    </row>
    <row r="43" spans="1:9" s="92" customFormat="1" ht="21.75" customHeight="1" thickBot="1">
      <c r="B43" s="54" t="s">
        <v>346</v>
      </c>
      <c r="C43" s="55"/>
      <c r="D43" s="280">
        <f>+VLOOKUP(B43,[3]Pasivo!$B:$E,3,0)</f>
        <v>0</v>
      </c>
      <c r="E43" s="280">
        <f>+VLOOKUP(B43,[3]Pasivo!$B:$E,4,0)</f>
        <v>0</v>
      </c>
      <c r="F43" s="91"/>
      <c r="G43" s="275">
        <f t="shared" ref="G43" si="8">ROUND(+(D43-E43),0)</f>
        <v>0</v>
      </c>
      <c r="H43" s="297">
        <f t="shared" ref="H43" si="9">IFERROR(G43/E43,1)</f>
        <v>1</v>
      </c>
    </row>
    <row r="44" spans="1:9" s="91" customFormat="1" ht="21" customHeight="1" thickBot="1">
      <c r="A44" s="92"/>
      <c r="B44" s="60" t="s">
        <v>122</v>
      </c>
      <c r="C44" s="65"/>
      <c r="D44" s="282">
        <f>+D42+D43</f>
        <v>252840419</v>
      </c>
      <c r="E44" s="283">
        <f>+E42+E43</f>
        <v>361668126</v>
      </c>
      <c r="G44" s="298">
        <f>ROUND(+(D44-E44),0)</f>
        <v>-108827707</v>
      </c>
      <c r="H44" s="299">
        <f t="shared" si="1"/>
        <v>-0.30090488814599048</v>
      </c>
    </row>
    <row r="45" spans="1:9" s="92" customFormat="1" ht="21" customHeight="1">
      <c r="B45" s="50" t="s">
        <v>123</v>
      </c>
      <c r="C45" s="63"/>
      <c r="D45" s="280"/>
      <c r="E45" s="281"/>
      <c r="F45" s="91"/>
      <c r="G45" s="275"/>
      <c r="H45" s="297"/>
    </row>
    <row r="46" spans="1:9" s="92" customFormat="1" ht="18" customHeight="1">
      <c r="B46" s="54" t="s">
        <v>353</v>
      </c>
      <c r="C46" s="51">
        <v>17</v>
      </c>
      <c r="D46" s="280">
        <f>+VLOOKUP(B46,[3]Pasivo!$B:$E,3,0)</f>
        <v>1254574719</v>
      </c>
      <c r="E46" s="280">
        <f>+VLOOKUP(B46,[3]Pasivo!$B:$E,4,0)</f>
        <v>1125060897</v>
      </c>
      <c r="F46" s="91"/>
      <c r="G46" s="275">
        <f t="shared" ref="G46:G54" si="10">ROUND(+(D46-E46),0)</f>
        <v>129513822</v>
      </c>
      <c r="H46" s="297">
        <f t="shared" si="1"/>
        <v>0.1151171659643949</v>
      </c>
    </row>
    <row r="47" spans="1:9" s="92" customFormat="1" ht="18" customHeight="1">
      <c r="B47" s="54" t="s">
        <v>355</v>
      </c>
      <c r="C47" s="51">
        <v>15</v>
      </c>
      <c r="D47" s="280">
        <f>+VLOOKUP(B47,[3]Pasivo!$B:$E,3,0)</f>
        <v>2637414</v>
      </c>
      <c r="E47" s="280">
        <f>+VLOOKUP(B47,[3]Pasivo!$B:$E,4,0)</f>
        <v>2762179</v>
      </c>
      <c r="F47" s="91"/>
      <c r="G47" s="275">
        <f t="shared" ref="G47" si="11">ROUND(+(D47-E47),0)</f>
        <v>-124765</v>
      </c>
      <c r="H47" s="297">
        <f t="shared" ref="H47" si="12">IFERROR(G47/E47,1)</f>
        <v>-4.51690495076532E-2</v>
      </c>
    </row>
    <row r="48" spans="1:9" s="92" customFormat="1" ht="18" customHeight="1">
      <c r="B48" s="54" t="s">
        <v>126</v>
      </c>
      <c r="C48" s="51">
        <v>18</v>
      </c>
      <c r="D48" s="280">
        <f>+VLOOKUP(B48,[3]Pasivo!$B:$E,3,0)</f>
        <v>1236160</v>
      </c>
      <c r="E48" s="280">
        <f>+VLOOKUP(B48,[3]Pasivo!$B:$E,4,0)</f>
        <v>1181870</v>
      </c>
      <c r="F48" s="91"/>
      <c r="G48" s="275">
        <f t="shared" si="10"/>
        <v>54290</v>
      </c>
      <c r="H48" s="297">
        <f t="shared" si="1"/>
        <v>4.5935678204878712E-2</v>
      </c>
    </row>
    <row r="49" spans="1:8" s="92" customFormat="1" ht="18" customHeight="1">
      <c r="B49" s="54" t="s">
        <v>352</v>
      </c>
      <c r="C49" s="51"/>
      <c r="D49" s="280">
        <f>+VLOOKUP(B49,[3]Pasivo!$B:$E,3,0)</f>
        <v>0</v>
      </c>
      <c r="E49" s="280">
        <f>+VLOOKUP(B49,[3]Pasivo!$B:$E,4,0)</f>
        <v>0</v>
      </c>
      <c r="F49" s="91"/>
      <c r="G49" s="275">
        <f t="shared" ref="G49" si="13">ROUND(+(D49-E49),0)</f>
        <v>0</v>
      </c>
      <c r="H49" s="297">
        <f t="shared" ref="H49" si="14">IFERROR(G49/E49,1)</f>
        <v>1</v>
      </c>
    </row>
    <row r="50" spans="1:8" s="92" customFormat="1" ht="18" customHeight="1">
      <c r="B50" s="54" t="s">
        <v>357</v>
      </c>
      <c r="C50" s="51">
        <v>19</v>
      </c>
      <c r="D50" s="280">
        <f>+VLOOKUP(B50,[3]Pasivo!$B:$E,3,0)</f>
        <v>1864283</v>
      </c>
      <c r="E50" s="280">
        <f>+VLOOKUP(B50,[3]Pasivo!$B:$E,4,0)</f>
        <v>1823379</v>
      </c>
      <c r="F50" s="91"/>
      <c r="G50" s="275">
        <f t="shared" si="10"/>
        <v>40904</v>
      </c>
      <c r="H50" s="297">
        <f t="shared" si="1"/>
        <v>2.2433076173412111E-2</v>
      </c>
    </row>
    <row r="51" spans="1:8" s="92" customFormat="1" ht="18" customHeight="1">
      <c r="B51" s="54" t="s">
        <v>125</v>
      </c>
      <c r="C51" s="51">
        <v>16</v>
      </c>
      <c r="D51" s="280">
        <f>+VLOOKUP(B51,[3]Pasivo!$B:$E,3,0)</f>
        <v>14793077</v>
      </c>
      <c r="E51" s="280">
        <f>+VLOOKUP(B51,[3]Pasivo!$B:$E,4,0)</f>
        <v>14934780</v>
      </c>
      <c r="F51" s="91"/>
      <c r="G51" s="275">
        <f t="shared" si="10"/>
        <v>-141703</v>
      </c>
      <c r="H51" s="297">
        <f t="shared" si="1"/>
        <v>-9.488121016847921E-3</v>
      </c>
    </row>
    <row r="52" spans="1:8" s="92" customFormat="1" ht="18" customHeight="1">
      <c r="B52" s="54" t="s">
        <v>347</v>
      </c>
      <c r="C52" s="51">
        <v>20</v>
      </c>
      <c r="D52" s="280">
        <f>+VLOOKUP(B52,[3]Pasivo!$B:$E,3,0)</f>
        <v>22993112</v>
      </c>
      <c r="E52" s="280">
        <f>+VLOOKUP(B52,[3]Pasivo!$B:$E,4,0)</f>
        <v>22322555</v>
      </c>
      <c r="F52" s="91"/>
      <c r="G52" s="275">
        <f t="shared" si="10"/>
        <v>670557</v>
      </c>
      <c r="H52" s="297">
        <f t="shared" si="1"/>
        <v>3.0039437689816421E-2</v>
      </c>
    </row>
    <row r="53" spans="1:8" s="92" customFormat="1" ht="18" customHeight="1" thickBot="1">
      <c r="B53" s="54" t="s">
        <v>356</v>
      </c>
      <c r="C53" s="51">
        <v>21</v>
      </c>
      <c r="D53" s="280">
        <f>+VLOOKUP(B53,[3]Pasivo!$B:$E,3,0)</f>
        <v>7729896</v>
      </c>
      <c r="E53" s="280">
        <f>+VLOOKUP(B53,[3]Pasivo!$B:$E,4,0)</f>
        <v>7454645</v>
      </c>
      <c r="F53" s="91"/>
      <c r="G53" s="275">
        <f t="shared" si="10"/>
        <v>275251</v>
      </c>
      <c r="H53" s="297">
        <f t="shared" si="1"/>
        <v>3.6923421571382675E-2</v>
      </c>
    </row>
    <row r="54" spans="1:8" s="92" customFormat="1" ht="21" customHeight="1" thickBot="1">
      <c r="B54" s="60" t="s">
        <v>248</v>
      </c>
      <c r="C54" s="65"/>
      <c r="D54" s="282">
        <f>SUM(D46:D53)</f>
        <v>1305828661</v>
      </c>
      <c r="E54" s="283">
        <f>SUM(E46:E53)</f>
        <v>1175540305</v>
      </c>
      <c r="F54" s="91"/>
      <c r="G54" s="298">
        <f t="shared" si="10"/>
        <v>130288356</v>
      </c>
      <c r="H54" s="299">
        <f t="shared" si="1"/>
        <v>0.11083274256598118</v>
      </c>
    </row>
    <row r="55" spans="1:8" s="92" customFormat="1" ht="4.5" customHeight="1" thickBot="1">
      <c r="B55" s="54"/>
      <c r="C55" s="55"/>
      <c r="D55" s="280"/>
      <c r="E55" s="281"/>
      <c r="F55" s="91"/>
      <c r="G55" s="275"/>
      <c r="H55" s="297"/>
    </row>
    <row r="56" spans="1:8" s="92" customFormat="1" ht="21" customHeight="1" thickBot="1">
      <c r="B56" s="66" t="s">
        <v>127</v>
      </c>
      <c r="C56" s="65"/>
      <c r="D56" s="282">
        <f>+D54+D44</f>
        <v>1558669080</v>
      </c>
      <c r="E56" s="283">
        <f>+E54+E44</f>
        <v>1537208431</v>
      </c>
      <c r="F56" s="91"/>
      <c r="G56" s="298">
        <f>ROUND(+(D56-E56),0)</f>
        <v>21460649</v>
      </c>
      <c r="H56" s="299">
        <f t="shared" ref="H56:H67" si="15">IFERROR(G56/E56,100)</f>
        <v>1.3960793193177588E-2</v>
      </c>
    </row>
    <row r="57" spans="1:8" s="92" customFormat="1" ht="21" customHeight="1">
      <c r="B57" s="50" t="s">
        <v>249</v>
      </c>
      <c r="C57" s="67"/>
      <c r="D57" s="290"/>
      <c r="E57" s="291"/>
      <c r="F57" s="91"/>
      <c r="G57" s="275"/>
      <c r="H57" s="297"/>
    </row>
    <row r="58" spans="1:8" s="92" customFormat="1" ht="18" customHeight="1">
      <c r="B58" s="54" t="s">
        <v>128</v>
      </c>
      <c r="C58" s="51">
        <v>22</v>
      </c>
      <c r="D58" s="280">
        <f>+VLOOKUP(B58,[3]Pasivo!$B:$E,3,0)</f>
        <v>155567354</v>
      </c>
      <c r="E58" s="280">
        <f>+VLOOKUP(B58,[3]Pasivo!$B:$E,4,0)</f>
        <v>155567354</v>
      </c>
      <c r="F58" s="91"/>
      <c r="G58" s="275">
        <f t="shared" ref="G58:G65" si="16">ROUND(+(D58-E58),0)</f>
        <v>0</v>
      </c>
      <c r="H58" s="297">
        <f t="shared" si="15"/>
        <v>0</v>
      </c>
    </row>
    <row r="59" spans="1:8" s="92" customFormat="1" ht="18" customHeight="1">
      <c r="B59" s="54" t="s">
        <v>348</v>
      </c>
      <c r="C59" s="51">
        <v>22</v>
      </c>
      <c r="D59" s="280">
        <f>+VLOOKUP(B59,[3]Pasivo!$B:$E,3,0)</f>
        <v>399012626</v>
      </c>
      <c r="E59" s="280">
        <f>+VLOOKUP(B59,[3]Pasivo!$B:$E,4,0)</f>
        <v>411044222</v>
      </c>
      <c r="F59" s="91"/>
      <c r="G59" s="275">
        <f t="shared" si="16"/>
        <v>-12031596</v>
      </c>
      <c r="H59" s="297">
        <f t="shared" si="15"/>
        <v>-2.9270806779519699E-2</v>
      </c>
    </row>
    <row r="60" spans="1:8" s="92" customFormat="1" ht="18" customHeight="1">
      <c r="B60" s="68" t="s">
        <v>349</v>
      </c>
      <c r="C60" s="51">
        <v>22</v>
      </c>
      <c r="D60" s="280">
        <f>+VLOOKUP(B60,[3]Pasivo!$B:$E,3,0)</f>
        <v>164064038</v>
      </c>
      <c r="E60" s="280">
        <f>+VLOOKUP(B60,[3]Pasivo!$B:$E,4,0)</f>
        <v>164064038</v>
      </c>
      <c r="F60" s="91"/>
      <c r="G60" s="275">
        <f t="shared" si="16"/>
        <v>0</v>
      </c>
      <c r="H60" s="297">
        <f t="shared" si="15"/>
        <v>0</v>
      </c>
    </row>
    <row r="61" spans="1:8" s="91" customFormat="1" ht="18" customHeight="1">
      <c r="A61" s="92"/>
      <c r="B61" s="54" t="s">
        <v>129</v>
      </c>
      <c r="C61" s="51">
        <v>22</v>
      </c>
      <c r="D61" s="280">
        <f>+VLOOKUP(B61,[3]Pasivo!$B:$E,3,0)</f>
        <v>-5965550</v>
      </c>
      <c r="E61" s="280">
        <f>+VLOOKUP(B61,[3]Pasivo!$B:$E,4,0)</f>
        <v>-5965550</v>
      </c>
      <c r="G61" s="275">
        <f t="shared" si="16"/>
        <v>0</v>
      </c>
      <c r="H61" s="297">
        <f t="shared" si="15"/>
        <v>0</v>
      </c>
    </row>
    <row r="62" spans="1:8" s="91" customFormat="1" ht="18" customHeight="1" thickBot="1">
      <c r="A62" s="92"/>
      <c r="B62" s="54" t="s">
        <v>316</v>
      </c>
      <c r="C62" s="51">
        <v>22</v>
      </c>
      <c r="D62" s="280">
        <f>+VLOOKUP(B62,[3]Pasivo!$B:$E,3,0)</f>
        <v>161752275</v>
      </c>
      <c r="E62" s="280">
        <f>+VLOOKUP(B62,[3]Pasivo!$B:$E,4,0)</f>
        <v>161397766</v>
      </c>
      <c r="G62" s="275">
        <f t="shared" si="16"/>
        <v>354509</v>
      </c>
      <c r="H62" s="297"/>
    </row>
    <row r="63" spans="1:8" s="91" customFormat="1" ht="21.75" customHeight="1" thickBot="1">
      <c r="A63" s="92"/>
      <c r="B63" s="69" t="s">
        <v>94</v>
      </c>
      <c r="C63" s="51"/>
      <c r="D63" s="286">
        <f>SUM(D58:D62)</f>
        <v>874430743</v>
      </c>
      <c r="E63" s="287">
        <f>SUM(E58:E62)</f>
        <v>886107830</v>
      </c>
      <c r="G63" s="298">
        <f>ROUND(+(D63-E63),0)</f>
        <v>-11677087</v>
      </c>
      <c r="H63" s="299">
        <f t="shared" si="15"/>
        <v>-1.3177952620055281E-2</v>
      </c>
    </row>
    <row r="64" spans="1:8" s="91" customFormat="1" ht="21.75" customHeight="1" thickBot="1">
      <c r="A64" s="92"/>
      <c r="B64" s="70" t="s">
        <v>95</v>
      </c>
      <c r="C64" s="51">
        <v>23</v>
      </c>
      <c r="D64" s="280">
        <f>+VLOOKUP(B64,[3]Pasivo!$B:$E,3,0)</f>
        <v>33332</v>
      </c>
      <c r="E64" s="280">
        <f>+VLOOKUP(B64,[3]Pasivo!$B:$E,4,0)</f>
        <v>31468</v>
      </c>
      <c r="G64" s="275">
        <f t="shared" si="16"/>
        <v>1864</v>
      </c>
      <c r="H64" s="297">
        <f t="shared" si="15"/>
        <v>5.9234778187364945E-2</v>
      </c>
    </row>
    <row r="65" spans="1:8" s="91" customFormat="1" ht="18" customHeight="1" thickBot="1">
      <c r="A65" s="92"/>
      <c r="B65" s="60" t="s">
        <v>250</v>
      </c>
      <c r="C65" s="71"/>
      <c r="D65" s="282">
        <f>+D63+D64</f>
        <v>874464075</v>
      </c>
      <c r="E65" s="283">
        <f>+E63+E64</f>
        <v>886139298</v>
      </c>
      <c r="G65" s="298">
        <f t="shared" si="16"/>
        <v>-11675223</v>
      </c>
      <c r="H65" s="299">
        <f t="shared" si="15"/>
        <v>-1.3175381146452666E-2</v>
      </c>
    </row>
    <row r="66" spans="1:8" s="92" customFormat="1" ht="11.25" customHeight="1" thickBot="1">
      <c r="B66" s="54"/>
      <c r="C66" s="55"/>
      <c r="D66" s="280"/>
      <c r="E66" s="281"/>
      <c r="F66" s="91"/>
      <c r="G66" s="275"/>
      <c r="H66" s="297"/>
    </row>
    <row r="67" spans="1:8" s="91" customFormat="1" ht="20.25" customHeight="1" thickBot="1">
      <c r="A67" s="92"/>
      <c r="B67" s="72" t="s">
        <v>251</v>
      </c>
      <c r="C67" s="73"/>
      <c r="D67" s="288">
        <f>+D65+D56</f>
        <v>2433133155</v>
      </c>
      <c r="E67" s="289">
        <f>+E65+E56</f>
        <v>2423347729</v>
      </c>
      <c r="G67" s="298">
        <f>ROUND(+(D67-E67),0)</f>
        <v>9785426</v>
      </c>
      <c r="H67" s="299">
        <f t="shared" si="15"/>
        <v>4.0379784885588741E-3</v>
      </c>
    </row>
    <row r="69" spans="1:8" ht="15" customHeight="1">
      <c r="B69" s="346" t="s">
        <v>287</v>
      </c>
      <c r="C69" s="346"/>
      <c r="D69" s="347">
        <f>+D67-D28</f>
        <v>0</v>
      </c>
      <c r="E69" s="347">
        <f>+E67-E28</f>
        <v>0</v>
      </c>
    </row>
  </sheetData>
  <mergeCells count="5">
    <mergeCell ref="B3:B4"/>
    <mergeCell ref="C3:C4"/>
    <mergeCell ref="B31:B32"/>
    <mergeCell ref="C31:C32"/>
    <mergeCell ref="G3:H3"/>
  </mergeCells>
  <pageMargins left="0.27559055118110237" right="0.47244094488188981" top="0.74803149606299213" bottom="0.74803149606299213" header="0.31496062992125984" footer="0.31496062992125984"/>
  <pageSetup fitToHeight="2" orientation="portrait" r:id="rId1"/>
  <rowBreaks count="1" manualBreakCount="1">
    <brk id="28" min="1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92D050"/>
    <pageSetUpPr fitToPage="1"/>
  </sheetPr>
  <dimension ref="A1:M31"/>
  <sheetViews>
    <sheetView showGridLines="0" zoomScale="90" zoomScaleNormal="90" workbookViewId="0">
      <selection activeCell="J50" sqref="J50"/>
    </sheetView>
  </sheetViews>
  <sheetFormatPr baseColWidth="10" defaultColWidth="11.44140625" defaultRowHeight="13.8"/>
  <cols>
    <col min="1" max="1" width="7.5546875" style="100" customWidth="1"/>
    <col min="2" max="2" width="50.44140625" style="100" customWidth="1"/>
    <col min="3" max="3" width="7.5546875" style="100" customWidth="1"/>
    <col min="4" max="4" width="12.44140625" style="100" bestFit="1" customWidth="1"/>
    <col min="5" max="5" width="13.77734375" style="100" customWidth="1"/>
    <col min="6" max="7" width="11.44140625" style="100" customWidth="1"/>
    <col min="8" max="8" width="5" style="100" customWidth="1"/>
    <col min="9" max="9" width="11.44140625" style="292"/>
    <col min="10" max="11" width="12.5546875" style="293" customWidth="1"/>
    <col min="12" max="12" width="0" style="292" hidden="1" customWidth="1"/>
    <col min="13" max="13" width="12.5546875" style="293" hidden="1" customWidth="1"/>
    <col min="14" max="16384" width="11.44140625" style="100"/>
  </cols>
  <sheetData>
    <row r="1" spans="1:13">
      <c r="C1" s="116"/>
    </row>
    <row r="2" spans="1:13" ht="14.4" thickBot="1">
      <c r="C2" s="116"/>
      <c r="I2" s="469" t="s">
        <v>238</v>
      </c>
      <c r="J2" s="469"/>
      <c r="K2" s="331"/>
      <c r="L2" s="469" t="s">
        <v>239</v>
      </c>
      <c r="M2" s="469"/>
    </row>
    <row r="3" spans="1:13" s="92" customFormat="1" ht="26.4">
      <c r="A3" s="117"/>
      <c r="B3" s="465" t="s">
        <v>283</v>
      </c>
      <c r="C3" s="461" t="s">
        <v>106</v>
      </c>
      <c r="D3" s="367">
        <v>45473</v>
      </c>
      <c r="E3" s="367">
        <v>45107</v>
      </c>
      <c r="F3" s="429" t="s">
        <v>387</v>
      </c>
      <c r="G3" s="429" t="s">
        <v>386</v>
      </c>
      <c r="I3" s="467" t="s">
        <v>237</v>
      </c>
      <c r="J3" s="468"/>
      <c r="K3" s="332"/>
      <c r="L3" s="467" t="s">
        <v>237</v>
      </c>
      <c r="M3" s="468"/>
    </row>
    <row r="4" spans="1:13" s="92" customFormat="1" ht="16.5" customHeight="1">
      <c r="B4" s="466"/>
      <c r="C4" s="462"/>
      <c r="D4" s="48" t="s">
        <v>8</v>
      </c>
      <c r="E4" s="48" t="s">
        <v>8</v>
      </c>
      <c r="F4" s="430" t="s">
        <v>8</v>
      </c>
      <c r="G4" s="437" t="s">
        <v>8</v>
      </c>
      <c r="I4" s="295" t="s">
        <v>8</v>
      </c>
      <c r="J4" s="296" t="s">
        <v>70</v>
      </c>
      <c r="K4" s="333"/>
      <c r="L4" s="295" t="s">
        <v>8</v>
      </c>
      <c r="M4" s="296"/>
    </row>
    <row r="5" spans="1:13" s="92" customFormat="1" ht="21" customHeight="1">
      <c r="B5" s="74" t="s">
        <v>284</v>
      </c>
      <c r="C5" s="55">
        <v>25</v>
      </c>
      <c r="D5" s="52">
        <f>+VLOOKUP(B5,[3]Resultado!$B:$G,3,0)</f>
        <v>339686610</v>
      </c>
      <c r="E5" s="52">
        <f>+VLOOKUP(B5,[3]Resultado!$B:$G,4,0)</f>
        <v>336809270</v>
      </c>
      <c r="F5" s="52">
        <f>+VLOOKUP(B5,[3]Resultado!$B:$G,5,0)</f>
        <v>150546418</v>
      </c>
      <c r="G5" s="52">
        <f>+VLOOKUP(B5,[3]Resultado!$B:$G,6,0)</f>
        <v>155339926</v>
      </c>
      <c r="H5" s="91"/>
      <c r="I5" s="275">
        <f t="shared" ref="I5:I11" si="0">+ROUND((D5-E5),0)</f>
        <v>2877340</v>
      </c>
      <c r="J5" s="300">
        <f t="shared" ref="J5:J11" si="1">IFERROR(I5/E5,1)</f>
        <v>8.5429358877206676E-3</v>
      </c>
      <c r="K5" s="334"/>
      <c r="L5" s="275" t="e">
        <f>+ROUND((#REF!-#REF!),0)</f>
        <v>#REF!</v>
      </c>
      <c r="M5" s="300">
        <f>IFERROR(L5/#REF!,1)</f>
        <v>1</v>
      </c>
    </row>
    <row r="6" spans="1:13" s="92" customFormat="1" ht="21" customHeight="1">
      <c r="B6" s="74" t="s">
        <v>100</v>
      </c>
      <c r="C6" s="55"/>
      <c r="D6" s="52">
        <f>+VLOOKUP(B6,[3]Resultado!$B:$G,3,0)</f>
        <v>-41170430</v>
      </c>
      <c r="E6" s="52">
        <f>+VLOOKUP(B6,[3]Resultado!$B:$G,4,0)</f>
        <v>-48244002</v>
      </c>
      <c r="F6" s="52">
        <f>+VLOOKUP(B6,[3]Resultado!$B:$G,5,0)</f>
        <v>-19489943</v>
      </c>
      <c r="G6" s="52">
        <f>+VLOOKUP(B6,[3]Resultado!$B:$G,6,0)</f>
        <v>-22936811</v>
      </c>
      <c r="H6" s="91"/>
      <c r="I6" s="275">
        <f t="shared" si="0"/>
        <v>7073572</v>
      </c>
      <c r="J6" s="300">
        <f t="shared" si="1"/>
        <v>-0.14662075505261774</v>
      </c>
      <c r="K6" s="334"/>
      <c r="L6" s="275" t="e">
        <f>+ROUND((#REF!-#REF!),0)</f>
        <v>#REF!</v>
      </c>
      <c r="M6" s="300">
        <f>IFERROR(L6/#REF!,1)</f>
        <v>1</v>
      </c>
    </row>
    <row r="7" spans="1:13" s="92" customFormat="1" ht="21" customHeight="1">
      <c r="B7" s="74" t="s">
        <v>91</v>
      </c>
      <c r="C7" s="55">
        <v>20</v>
      </c>
      <c r="D7" s="52">
        <f>+VLOOKUP(B7,[3]Resultado!$B:$G,3,0)</f>
        <v>-39964877</v>
      </c>
      <c r="E7" s="52">
        <f>+VLOOKUP(B7,[3]Resultado!$B:$G,4,0)</f>
        <v>-36713649</v>
      </c>
      <c r="F7" s="52">
        <f>+VLOOKUP(B7,[3]Resultado!$B:$G,5,0)</f>
        <v>-21218332</v>
      </c>
      <c r="G7" s="52">
        <f>+VLOOKUP(B7,[3]Resultado!$B:$G,6,0)</f>
        <v>-20053838</v>
      </c>
      <c r="H7" s="91"/>
      <c r="I7" s="275">
        <f t="shared" si="0"/>
        <v>-3251228</v>
      </c>
      <c r="J7" s="300">
        <f t="shared" si="1"/>
        <v>8.8556384030364296E-2</v>
      </c>
      <c r="K7" s="334"/>
      <c r="L7" s="275" t="e">
        <f>+ROUND((#REF!-#REF!),0)</f>
        <v>#REF!</v>
      </c>
      <c r="M7" s="300">
        <f>IFERROR(L7/#REF!,1)</f>
        <v>1</v>
      </c>
    </row>
    <row r="8" spans="1:13" s="92" customFormat="1" ht="21" customHeight="1">
      <c r="B8" s="74" t="s">
        <v>335</v>
      </c>
      <c r="C8" s="55" t="s">
        <v>389</v>
      </c>
      <c r="D8" s="52">
        <f>+VLOOKUP(B8,[3]Resultado!$B:$G,3,0)</f>
        <v>-40578598</v>
      </c>
      <c r="E8" s="52">
        <f>+VLOOKUP(B8,[3]Resultado!$B:$G,4,0)</f>
        <v>-37304527</v>
      </c>
      <c r="F8" s="52">
        <f>+VLOOKUP(B8,[3]Resultado!$B:$G,5,0)</f>
        <v>-20606051</v>
      </c>
      <c r="G8" s="52">
        <f>+VLOOKUP(B8,[3]Resultado!$B:$G,6,0)</f>
        <v>-18479475</v>
      </c>
      <c r="H8" s="91"/>
      <c r="I8" s="275">
        <f t="shared" si="0"/>
        <v>-3274071</v>
      </c>
      <c r="J8" s="300">
        <f t="shared" si="1"/>
        <v>8.7766050484971977E-2</v>
      </c>
      <c r="K8" s="334"/>
      <c r="L8" s="275" t="e">
        <f>+ROUND((#REF!-#REF!),0)</f>
        <v>#REF!</v>
      </c>
      <c r="M8" s="300">
        <f>IFERROR(L8/#REF!,1)</f>
        <v>1</v>
      </c>
    </row>
    <row r="9" spans="1:13" s="92" customFormat="1" ht="21" customHeight="1">
      <c r="B9" s="76" t="s">
        <v>336</v>
      </c>
      <c r="C9" s="75" t="s">
        <v>390</v>
      </c>
      <c r="D9" s="52">
        <f>+VLOOKUP(B9,[3]Resultado!$B:$G,3,0)</f>
        <v>-6587500</v>
      </c>
      <c r="E9" s="52">
        <f>+VLOOKUP(B9,[3]Resultado!$B:$G,4,0)</f>
        <v>-8186340</v>
      </c>
      <c r="F9" s="52">
        <f>+VLOOKUP(B9,[3]Resultado!$B:$G,5,0)</f>
        <v>-2562064</v>
      </c>
      <c r="G9" s="52">
        <f>+VLOOKUP(B9,[3]Resultado!$B:$G,6,0)</f>
        <v>-5067079</v>
      </c>
      <c r="H9" s="91"/>
      <c r="I9" s="275">
        <f t="shared" si="0"/>
        <v>1598840</v>
      </c>
      <c r="J9" s="300">
        <f t="shared" si="1"/>
        <v>-0.19530583875089477</v>
      </c>
      <c r="K9" s="334"/>
      <c r="L9" s="275" t="e">
        <f>+ROUND((#REF!-#REF!),0)</f>
        <v>#REF!</v>
      </c>
      <c r="M9" s="300">
        <f>IFERROR(L9/#REF!,1)</f>
        <v>1</v>
      </c>
    </row>
    <row r="10" spans="1:13" s="92" customFormat="1" ht="21" customHeight="1">
      <c r="B10" s="74" t="s">
        <v>93</v>
      </c>
      <c r="C10" s="55">
        <v>26</v>
      </c>
      <c r="D10" s="52">
        <f>+VLOOKUP(B10,[3]Resultado!$B:$G,3,0)</f>
        <v>-75701335</v>
      </c>
      <c r="E10" s="52">
        <f>+VLOOKUP(B10,[3]Resultado!$B:$G,4,0)</f>
        <v>-72127713</v>
      </c>
      <c r="F10" s="52">
        <f>+VLOOKUP(B10,[3]Resultado!$B:$G,5,0)</f>
        <v>-38166946</v>
      </c>
      <c r="G10" s="52">
        <f>+VLOOKUP(B10,[3]Resultado!$B:$G,6,0)</f>
        <v>-37948145</v>
      </c>
      <c r="H10" s="91"/>
      <c r="I10" s="275">
        <f t="shared" si="0"/>
        <v>-3573622</v>
      </c>
      <c r="J10" s="300">
        <f t="shared" si="1"/>
        <v>4.954575504147761E-2</v>
      </c>
      <c r="K10" s="334"/>
      <c r="L10" s="275" t="e">
        <f>+ROUND((#REF!-#REF!),0)</f>
        <v>#REF!</v>
      </c>
      <c r="M10" s="300">
        <f>IFERROR(L10/#REF!,1)</f>
        <v>1</v>
      </c>
    </row>
    <row r="11" spans="1:13" s="92" customFormat="1" ht="21" customHeight="1">
      <c r="B11" s="74" t="s">
        <v>276</v>
      </c>
      <c r="C11" s="55">
        <v>27</v>
      </c>
      <c r="D11" s="52">
        <f>+VLOOKUP(B11,[3]Resultado!$B:$G,3,0)</f>
        <v>2501752</v>
      </c>
      <c r="E11" s="52">
        <f>+VLOOKUP(B11,[3]Resultado!$B:$G,4,0)</f>
        <v>-1891317</v>
      </c>
      <c r="F11" s="52">
        <f>+VLOOKUP(B11,[3]Resultado!$B:$G,5,0)</f>
        <v>-648828</v>
      </c>
      <c r="G11" s="52">
        <f>+VLOOKUP(B11,[3]Resultado!$B:$G,6,0)</f>
        <v>-1279921</v>
      </c>
      <c r="H11" s="91"/>
      <c r="I11" s="275">
        <f t="shared" si="0"/>
        <v>4393069</v>
      </c>
      <c r="J11" s="300">
        <f t="shared" si="1"/>
        <v>-2.3227565765019826</v>
      </c>
      <c r="K11" s="334"/>
      <c r="L11" s="275" t="e">
        <f>+ROUND((#REF!-#REF!),0)</f>
        <v>#REF!</v>
      </c>
      <c r="M11" s="300">
        <f>IFERROR(L11/#REF!,1)</f>
        <v>1</v>
      </c>
    </row>
    <row r="12" spans="1:13" s="92" customFormat="1" ht="21" customHeight="1">
      <c r="B12" s="311" t="s">
        <v>294</v>
      </c>
      <c r="C12" s="312"/>
      <c r="D12" s="312">
        <f>+SUM(D5:D11)</f>
        <v>138185622</v>
      </c>
      <c r="E12" s="312">
        <f t="shared" ref="E12:G12" si="2">+SUM(E5:E11)</f>
        <v>132341722</v>
      </c>
      <c r="F12" s="312">
        <f t="shared" si="2"/>
        <v>47854254</v>
      </c>
      <c r="G12" s="312">
        <f t="shared" si="2"/>
        <v>49574657</v>
      </c>
      <c r="H12" s="91"/>
      <c r="I12" s="275"/>
      <c r="J12" s="300"/>
      <c r="K12" s="334"/>
      <c r="L12" s="275"/>
      <c r="M12" s="300"/>
    </row>
    <row r="13" spans="1:13" s="92" customFormat="1" ht="21" customHeight="1">
      <c r="B13" s="74" t="s">
        <v>97</v>
      </c>
      <c r="C13" s="55">
        <v>27</v>
      </c>
      <c r="D13" s="52">
        <f>+VLOOKUP(B13,[3]Resultado!$B:$G,3,0)</f>
        <v>4965810</v>
      </c>
      <c r="E13" s="52">
        <f>+VLOOKUP(B13,[3]Resultado!$B:$G,4,0)</f>
        <v>10652158</v>
      </c>
      <c r="F13" s="52">
        <f>+VLOOKUP(B13,[3]Resultado!$B:$G,5,0)</f>
        <v>2947775</v>
      </c>
      <c r="G13" s="52">
        <f>+VLOOKUP(B13,[3]Resultado!$B:$G,6,0)</f>
        <v>5368493</v>
      </c>
      <c r="H13" s="91"/>
      <c r="I13" s="275">
        <f>+ROUND((D13-E13),0)</f>
        <v>-5686348</v>
      </c>
      <c r="J13" s="300">
        <f>IFERROR(I13/E13,1)</f>
        <v>-0.5338212219533357</v>
      </c>
      <c r="K13" s="334"/>
      <c r="L13" s="275" t="e">
        <f>+ROUND((#REF!-#REF!),0)</f>
        <v>#REF!</v>
      </c>
      <c r="M13" s="300">
        <f>IFERROR(L13/#REF!,1)</f>
        <v>1</v>
      </c>
    </row>
    <row r="14" spans="1:13" s="92" customFormat="1" ht="21" customHeight="1">
      <c r="B14" s="74" t="s">
        <v>337</v>
      </c>
      <c r="C14" s="55">
        <v>27</v>
      </c>
      <c r="D14" s="52">
        <f>+VLOOKUP(B14,[3]Resultado!$B:$G,3,0)</f>
        <v>-23932819</v>
      </c>
      <c r="E14" s="52">
        <f>+VLOOKUP(B14,[3]Resultado!$B:$G,4,0)</f>
        <v>-24265318</v>
      </c>
      <c r="F14" s="52">
        <f>+VLOOKUP(B14,[3]Resultado!$B:$G,5,0)</f>
        <v>-12376948</v>
      </c>
      <c r="G14" s="52">
        <f>+VLOOKUP(B14,[3]Resultado!$B:$G,6,0)</f>
        <v>-12511662</v>
      </c>
      <c r="H14" s="91"/>
      <c r="I14" s="275">
        <f>+ROUND((D14-E14),0)</f>
        <v>332499</v>
      </c>
      <c r="J14" s="300">
        <f>IFERROR(I14/E14,1)</f>
        <v>-1.370264341889111E-2</v>
      </c>
      <c r="K14" s="334"/>
      <c r="L14" s="275" t="e">
        <f>+ROUND((#REF!-#REF!),0)</f>
        <v>#REF!</v>
      </c>
      <c r="M14" s="300">
        <f>IFERROR(L14/#REF!,1)</f>
        <v>1</v>
      </c>
    </row>
    <row r="15" spans="1:13" s="92" customFormat="1" ht="21" customHeight="1">
      <c r="B15" s="74" t="s">
        <v>295</v>
      </c>
      <c r="C15" s="55">
        <v>28</v>
      </c>
      <c r="D15" s="52">
        <f>+VLOOKUP(B15,[3]Resultado!$B:$G,3,0)</f>
        <v>466832</v>
      </c>
      <c r="E15" s="52">
        <f>+VLOOKUP(B15,[3]Resultado!$B:$G,4,0)</f>
        <v>501329</v>
      </c>
      <c r="F15" s="52">
        <f>+VLOOKUP(B15,[3]Resultado!$B:$G,5,0)</f>
        <v>479132</v>
      </c>
      <c r="G15" s="52">
        <f>+VLOOKUP(B15,[3]Resultado!$B:$G,6,0)</f>
        <v>429880</v>
      </c>
      <c r="H15" s="91"/>
      <c r="I15" s="275">
        <f>+ROUND((D15-E15),0)</f>
        <v>-34497</v>
      </c>
      <c r="J15" s="300">
        <f>IFERROR(I15/E15,1)</f>
        <v>-6.8811100095944974E-2</v>
      </c>
      <c r="K15" s="334"/>
      <c r="L15" s="275" t="e">
        <f>+ROUND((#REF!-#REF!),0)</f>
        <v>#REF!</v>
      </c>
      <c r="M15" s="300">
        <f>IFERROR(L15/#REF!,1)</f>
        <v>1</v>
      </c>
    </row>
    <row r="16" spans="1:13" s="92" customFormat="1" ht="21" customHeight="1">
      <c r="B16" s="74" t="s">
        <v>338</v>
      </c>
      <c r="C16" s="55">
        <v>29</v>
      </c>
      <c r="D16" s="52">
        <f>+VLOOKUP(B16,[3]Resultado!$B:$G,3,0)</f>
        <v>-21464380</v>
      </c>
      <c r="E16" s="52">
        <f>+VLOOKUP(B16,[3]Resultado!$B:$G,4,0)</f>
        <v>-26761347</v>
      </c>
      <c r="F16" s="52">
        <f>+VLOOKUP(B16,[3]Resultado!$B:$G,5,0)</f>
        <v>-13117723</v>
      </c>
      <c r="G16" s="52">
        <f>+VLOOKUP(B16,[3]Resultado!$B:$G,6,0)</f>
        <v>-13432031</v>
      </c>
      <c r="H16" s="91"/>
      <c r="I16" s="275">
        <f>+ROUND((D16-E16),0)</f>
        <v>5296967</v>
      </c>
      <c r="J16" s="300">
        <f>IFERROR(I16/E16,1)</f>
        <v>-0.19793349714422073</v>
      </c>
      <c r="K16" s="334"/>
      <c r="L16" s="275" t="e">
        <f>+ROUND((#REF!-#REF!),0)</f>
        <v>#REF!</v>
      </c>
      <c r="M16" s="300">
        <f>IFERROR(L16/#REF!,1)</f>
        <v>1</v>
      </c>
    </row>
    <row r="17" spans="2:13" s="92" customFormat="1" ht="21" customHeight="1" thickBot="1">
      <c r="B17" s="74" t="s">
        <v>306</v>
      </c>
      <c r="C17" s="55"/>
      <c r="D17" s="52"/>
      <c r="E17" s="52"/>
      <c r="F17" s="431"/>
      <c r="G17" s="53"/>
      <c r="H17" s="91"/>
      <c r="I17" s="275"/>
      <c r="J17" s="300"/>
      <c r="K17" s="334"/>
      <c r="L17" s="275"/>
      <c r="M17" s="300"/>
    </row>
    <row r="18" spans="2:13" s="92" customFormat="1" ht="21" customHeight="1" thickBot="1">
      <c r="B18" s="78" t="s">
        <v>252</v>
      </c>
      <c r="C18" s="79"/>
      <c r="D18" s="80">
        <f>SUM(D12:D16)</f>
        <v>98221065</v>
      </c>
      <c r="E18" s="80">
        <f>SUM(E12:E16)</f>
        <v>92468544</v>
      </c>
      <c r="F18" s="432">
        <f t="shared" ref="F18:G18" si="3">SUM(F12:F16)</f>
        <v>25786490</v>
      </c>
      <c r="G18" s="438">
        <f t="shared" si="3"/>
        <v>29429337</v>
      </c>
      <c r="H18" s="91"/>
      <c r="I18" s="298">
        <f>+ROUND((D18-E18),0)</f>
        <v>5752521</v>
      </c>
      <c r="J18" s="303">
        <f>IFERROR(I18/E18,1)</f>
        <v>6.2210571845924163E-2</v>
      </c>
      <c r="K18" s="335"/>
      <c r="L18" s="298" t="e">
        <f>+ROUND((#REF!-#REF!),0)</f>
        <v>#REF!</v>
      </c>
      <c r="M18" s="303">
        <f>IFERROR(L18/#REF!,1)</f>
        <v>1</v>
      </c>
    </row>
    <row r="19" spans="2:13" s="92" customFormat="1" ht="21" customHeight="1" thickBot="1">
      <c r="B19" s="74" t="s">
        <v>339</v>
      </c>
      <c r="C19" s="55">
        <v>16</v>
      </c>
      <c r="D19" s="52">
        <f>+VLOOKUP(B19,[3]Resultado!$B:$G,3,0)</f>
        <v>-21712759</v>
      </c>
      <c r="E19" s="52">
        <f>+VLOOKUP(B19,[3]Resultado!$B:$G,4,0)</f>
        <v>-18044579</v>
      </c>
      <c r="F19" s="52">
        <f>+VLOOKUP(B19,[3]Resultado!$B:$G,5,0)</f>
        <v>-4188179</v>
      </c>
      <c r="G19" s="52">
        <f>+VLOOKUP(B19,[3]Resultado!$B:$G,6,0)</f>
        <v>-3918309</v>
      </c>
      <c r="H19" s="91"/>
      <c r="I19" s="275">
        <f>+ROUND((D19-E19),0)</f>
        <v>-3668180</v>
      </c>
      <c r="J19" s="300">
        <f>IFERROR(I19/E19,1)</f>
        <v>0.20328432156826712</v>
      </c>
      <c r="K19" s="334"/>
      <c r="L19" s="275" t="e">
        <f>+ROUND((#REF!-#REF!),0)</f>
        <v>#REF!</v>
      </c>
      <c r="M19" s="300">
        <f>IFERROR(L19/#REF!,1)</f>
        <v>1</v>
      </c>
    </row>
    <row r="20" spans="2:13" s="92" customFormat="1" ht="21" customHeight="1" thickBot="1">
      <c r="B20" s="78" t="s">
        <v>253</v>
      </c>
      <c r="C20" s="81"/>
      <c r="D20" s="80">
        <f>+D18+D19</f>
        <v>76508306</v>
      </c>
      <c r="E20" s="80">
        <f>+E18+E19</f>
        <v>74423965</v>
      </c>
      <c r="F20" s="432">
        <f t="shared" ref="F20:G20" si="4">+F18+F19</f>
        <v>21598311</v>
      </c>
      <c r="G20" s="438">
        <f t="shared" si="4"/>
        <v>25511028</v>
      </c>
      <c r="H20" s="91"/>
      <c r="I20" s="298">
        <f>+ROUND((D20-E20),0)</f>
        <v>2084341</v>
      </c>
      <c r="J20" s="303">
        <f>IFERROR(I20/E20,1)</f>
        <v>2.8006314901389627E-2</v>
      </c>
      <c r="K20" s="335"/>
      <c r="L20" s="298" t="e">
        <f>+ROUND((#REF!-#REF!),0)</f>
        <v>#REF!</v>
      </c>
      <c r="M20" s="303">
        <f>IFERROR(L20/#REF!,1)</f>
        <v>1</v>
      </c>
    </row>
    <row r="21" spans="2:13" s="92" customFormat="1" ht="23.25" customHeight="1">
      <c r="B21" s="76" t="s">
        <v>307</v>
      </c>
      <c r="C21" s="82"/>
      <c r="D21" s="52">
        <f>+VLOOKUP(B21,[3]Resultado!$B:$G,3,0)</f>
        <v>0</v>
      </c>
      <c r="E21" s="52">
        <f>+VLOOKUP(B21,[3]Resultado!$B:$G,4,0)</f>
        <v>0</v>
      </c>
      <c r="F21" s="52">
        <f>+VLOOKUP(B21,[3]Resultado!$B:$G,5,0)</f>
        <v>0</v>
      </c>
      <c r="G21" s="52">
        <f>+VLOOKUP(B21,[3]Resultado!$B:$G,6,0)</f>
        <v>0</v>
      </c>
      <c r="H21" s="91"/>
      <c r="I21" s="275">
        <f>+ROUND((D21-E21),0)</f>
        <v>0</v>
      </c>
      <c r="J21" s="300">
        <f>IFERROR(I21/E21,1)</f>
        <v>1</v>
      </c>
      <c r="K21" s="334"/>
      <c r="L21" s="275" t="e">
        <f>+ROUND((#REF!-#REF!),0)</f>
        <v>#REF!</v>
      </c>
      <c r="M21" s="300">
        <f>IFERROR(L21/#REF!,1)</f>
        <v>1</v>
      </c>
    </row>
    <row r="22" spans="2:13" s="92" customFormat="1" ht="23.25" customHeight="1" thickBot="1">
      <c r="B22" s="76"/>
      <c r="C22" s="82"/>
      <c r="D22" s="52"/>
      <c r="E22" s="52"/>
      <c r="F22" s="431"/>
      <c r="G22" s="53"/>
      <c r="H22" s="91"/>
      <c r="I22" s="275"/>
      <c r="J22" s="300"/>
      <c r="K22" s="334"/>
      <c r="L22" s="275"/>
      <c r="M22" s="300"/>
    </row>
    <row r="23" spans="2:13" s="92" customFormat="1" ht="21" customHeight="1" thickBot="1">
      <c r="B23" s="78" t="s">
        <v>130</v>
      </c>
      <c r="C23" s="81"/>
      <c r="D23" s="80">
        <f>+D20+D21</f>
        <v>76508306</v>
      </c>
      <c r="E23" s="80">
        <f t="shared" ref="E23:G23" si="5">+E20+E21</f>
        <v>74423965</v>
      </c>
      <c r="F23" s="432">
        <f t="shared" si="5"/>
        <v>21598311</v>
      </c>
      <c r="G23" s="438">
        <f t="shared" si="5"/>
        <v>25511028</v>
      </c>
      <c r="H23" s="91"/>
      <c r="I23" s="298">
        <f>+ROUND((D23-E23),0)</f>
        <v>2084341</v>
      </c>
      <c r="J23" s="303">
        <f>IFERROR(I23/E23,1)</f>
        <v>2.8006314901389627E-2</v>
      </c>
      <c r="K23" s="335"/>
      <c r="L23" s="298" t="e">
        <f>+ROUND((#REF!-#REF!),0)</f>
        <v>#REF!</v>
      </c>
      <c r="M23" s="303">
        <f>IFERROR(L23/#REF!,1)</f>
        <v>1</v>
      </c>
    </row>
    <row r="24" spans="2:13" s="92" customFormat="1" ht="21" customHeight="1" thickBot="1">
      <c r="B24" s="83" t="s">
        <v>254</v>
      </c>
      <c r="C24" s="84" t="s">
        <v>4</v>
      </c>
      <c r="D24" s="85"/>
      <c r="E24" s="77"/>
      <c r="F24" s="433"/>
      <c r="G24" s="439"/>
      <c r="H24" s="91"/>
      <c r="I24" s="275"/>
      <c r="J24" s="300"/>
      <c r="K24" s="334"/>
      <c r="L24" s="275"/>
      <c r="M24" s="300"/>
    </row>
    <row r="25" spans="2:13" s="92" customFormat="1" ht="21" customHeight="1" thickBot="1">
      <c r="B25" s="86" t="s">
        <v>103</v>
      </c>
      <c r="C25" s="81"/>
      <c r="D25" s="87">
        <f>+D23-D26</f>
        <v>76507078</v>
      </c>
      <c r="E25" s="87">
        <f>+E23-E26</f>
        <v>74422782</v>
      </c>
      <c r="F25" s="87">
        <f t="shared" ref="F25:G25" si="6">+F23-F26</f>
        <v>21598010</v>
      </c>
      <c r="G25" s="87">
        <f t="shared" si="6"/>
        <v>25510664</v>
      </c>
      <c r="H25" s="91"/>
      <c r="I25" s="298">
        <f>+ROUND((D25-E25),0)</f>
        <v>2084296</v>
      </c>
      <c r="J25" s="303">
        <f>IFERROR(I25/E25,1)</f>
        <v>2.800615542697665E-2</v>
      </c>
      <c r="K25" s="335"/>
      <c r="L25" s="298" t="e">
        <f>+ROUND((#REF!-#REF!),0)</f>
        <v>#REF!</v>
      </c>
      <c r="M25" s="303">
        <f>IFERROR(L25/#REF!,1)</f>
        <v>1</v>
      </c>
    </row>
    <row r="26" spans="2:13" s="92" customFormat="1" ht="21" customHeight="1" thickBot="1">
      <c r="B26" s="76" t="s">
        <v>388</v>
      </c>
      <c r="C26" s="55">
        <v>23</v>
      </c>
      <c r="D26" s="52">
        <f>+VLOOKUP(B26,[3]Resultado!$B:$G,3,0)</f>
        <v>1228</v>
      </c>
      <c r="E26" s="52">
        <f>+VLOOKUP(B26,[3]Resultado!$B:$G,4,0)</f>
        <v>1183</v>
      </c>
      <c r="F26" s="52">
        <f>+VLOOKUP(B26,[3]Resultado!$B:$G,5,0)</f>
        <v>301</v>
      </c>
      <c r="G26" s="52">
        <f>+VLOOKUP(B26,[3]Resultado!$B:$G,6,0)</f>
        <v>364</v>
      </c>
      <c r="H26" s="91"/>
      <c r="I26" s="275">
        <f>+ROUND((D26-E26),0)</f>
        <v>45</v>
      </c>
      <c r="J26" s="300">
        <f>IFERROR(I26/E26,1)</f>
        <v>3.8038884192730348E-2</v>
      </c>
      <c r="K26" s="334"/>
      <c r="L26" s="275" t="e">
        <f>+ROUND((#REF!-#REF!),0)</f>
        <v>#REF!</v>
      </c>
      <c r="M26" s="300">
        <f>IFERROR(L26/#REF!,1)</f>
        <v>1</v>
      </c>
    </row>
    <row r="27" spans="2:13" s="92" customFormat="1" ht="21" customHeight="1" thickBot="1">
      <c r="B27" s="88" t="s">
        <v>131</v>
      </c>
      <c r="C27" s="89"/>
      <c r="D27" s="87">
        <f>+D25+D26</f>
        <v>76508306</v>
      </c>
      <c r="E27" s="87">
        <f t="shared" ref="E27:G27" si="7">+E25+E26</f>
        <v>74423965</v>
      </c>
      <c r="F27" s="434">
        <f t="shared" si="7"/>
        <v>21598311</v>
      </c>
      <c r="G27" s="440">
        <f t="shared" si="7"/>
        <v>25511028</v>
      </c>
      <c r="H27" s="91"/>
      <c r="I27" s="298">
        <f>+ROUND((D27-E27),0)</f>
        <v>2084341</v>
      </c>
      <c r="J27" s="303">
        <f>IFERROR(I27/E27,1)</f>
        <v>2.8006314901389627E-2</v>
      </c>
      <c r="K27" s="335"/>
      <c r="L27" s="298" t="e">
        <f>+ROUND((#REF!-#REF!),0)</f>
        <v>#REF!</v>
      </c>
      <c r="M27" s="303">
        <f>IFERROR(L27/#REF!,1)</f>
        <v>1</v>
      </c>
    </row>
    <row r="28" spans="2:13" s="92" customFormat="1" ht="21" customHeight="1">
      <c r="B28" s="90" t="s">
        <v>255</v>
      </c>
      <c r="C28" s="84"/>
      <c r="D28" s="91"/>
      <c r="E28" s="77"/>
      <c r="G28" s="439"/>
      <c r="I28" s="275"/>
      <c r="J28" s="300"/>
      <c r="K28" s="334"/>
      <c r="L28" s="275"/>
      <c r="M28" s="300"/>
    </row>
    <row r="29" spans="2:13" s="92" customFormat="1" ht="21" customHeight="1">
      <c r="B29" s="270" t="s">
        <v>290</v>
      </c>
      <c r="C29" s="55">
        <v>31</v>
      </c>
      <c r="D29" s="271">
        <f>+D25/6118965</f>
        <v>12.503271059729872</v>
      </c>
      <c r="E29" s="271">
        <f>+E25/6118965</f>
        <v>12.162642211550482</v>
      </c>
      <c r="F29" s="435">
        <f>+F25/6118965</f>
        <v>3.5296835330811667</v>
      </c>
      <c r="G29" s="441">
        <f>+G25/6118965</f>
        <v>4.1691142211141914</v>
      </c>
      <c r="I29" s="275"/>
      <c r="J29" s="300"/>
      <c r="K29" s="334"/>
      <c r="L29" s="275"/>
      <c r="M29" s="300"/>
    </row>
    <row r="30" spans="2:13" s="92" customFormat="1" ht="21" customHeight="1" thickBot="1">
      <c r="B30" s="93" t="s">
        <v>132</v>
      </c>
      <c r="C30" s="94"/>
      <c r="D30" s="95">
        <f>+D29</f>
        <v>12.503271059729872</v>
      </c>
      <c r="E30" s="95">
        <f t="shared" ref="E30:G30" si="8">+E29</f>
        <v>12.162642211550482</v>
      </c>
      <c r="F30" s="436">
        <f t="shared" si="8"/>
        <v>3.5296835330811667</v>
      </c>
      <c r="G30" s="442">
        <f t="shared" si="8"/>
        <v>4.1691142211141914</v>
      </c>
      <c r="I30" s="301"/>
      <c r="J30" s="302"/>
      <c r="K30" s="334"/>
      <c r="L30" s="301"/>
      <c r="M30" s="302"/>
    </row>
    <row r="31" spans="2:13" ht="9" customHeight="1">
      <c r="B31" s="101"/>
      <c r="C31" s="101"/>
      <c r="D31" s="101"/>
      <c r="E31" s="101"/>
      <c r="F31" s="118"/>
      <c r="G31" s="118"/>
    </row>
  </sheetData>
  <mergeCells count="6">
    <mergeCell ref="B3:B4"/>
    <mergeCell ref="C3:C4"/>
    <mergeCell ref="I3:J3"/>
    <mergeCell ref="L3:M3"/>
    <mergeCell ref="I2:J2"/>
    <mergeCell ref="L2:M2"/>
  </mergeCells>
  <pageMargins left="0.48" right="0.70866141732283472" top="0.74803149606299213" bottom="0.74803149606299213" header="0.31496062992125984" footer="0.31496062992125984"/>
  <pageSetup scale="7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rgb="FF92D050"/>
    <pageSetUpPr fitToPage="1"/>
  </sheetPr>
  <dimension ref="B1:L73"/>
  <sheetViews>
    <sheetView showGridLines="0" topLeftCell="A16" zoomScale="90" zoomScaleNormal="90" workbookViewId="0">
      <selection activeCell="J50" sqref="J50"/>
    </sheetView>
  </sheetViews>
  <sheetFormatPr baseColWidth="10" defaultColWidth="11.44140625" defaultRowHeight="13.8"/>
  <cols>
    <col min="1" max="1" width="6.21875" style="100" customWidth="1"/>
    <col min="2" max="2" width="71.77734375" style="100" customWidth="1"/>
    <col min="3" max="3" width="5.5546875" style="100" customWidth="1"/>
    <col min="4" max="5" width="12.44140625" style="100" bestFit="1" customWidth="1"/>
    <col min="6" max="6" width="4.77734375" style="100" customWidth="1"/>
    <col min="7" max="7" width="12" style="292" bestFit="1" customWidth="1"/>
    <col min="8" max="8" width="11.44140625" style="294"/>
    <col min="9" max="9" width="11.44140625" style="100"/>
    <col min="10" max="10" width="13.5546875" style="100" customWidth="1"/>
    <col min="11" max="11" width="12.44140625" style="100" bestFit="1" customWidth="1"/>
    <col min="12" max="16384" width="11.44140625" style="100"/>
  </cols>
  <sheetData>
    <row r="1" spans="2:12" ht="14.4" thickBot="1"/>
    <row r="2" spans="2:12" s="101" customFormat="1" ht="12" customHeight="1">
      <c r="B2" s="470" t="s">
        <v>222</v>
      </c>
      <c r="C2" s="472" t="s">
        <v>106</v>
      </c>
      <c r="D2" s="267">
        <f>+Resultado!D3</f>
        <v>45473</v>
      </c>
      <c r="E2" s="268">
        <f>+Resultado!E3</f>
        <v>45107</v>
      </c>
      <c r="G2" s="467" t="s">
        <v>237</v>
      </c>
      <c r="H2" s="468"/>
    </row>
    <row r="3" spans="2:12" s="101" customFormat="1" ht="12" customHeight="1">
      <c r="B3" s="471"/>
      <c r="C3" s="473"/>
      <c r="D3" s="102" t="s">
        <v>8</v>
      </c>
      <c r="E3" s="103" t="s">
        <v>8</v>
      </c>
      <c r="G3" s="304" t="s">
        <v>8</v>
      </c>
      <c r="H3" s="305" t="s">
        <v>70</v>
      </c>
    </row>
    <row r="4" spans="2:12" s="106" customFormat="1" ht="21" customHeight="1">
      <c r="B4" s="96" t="s">
        <v>134</v>
      </c>
      <c r="C4" s="97"/>
      <c r="D4" s="313">
        <f>+VLOOKUP(B4,[3]Flujo!$B:$E,3,0)</f>
        <v>403836102</v>
      </c>
      <c r="E4" s="313">
        <f>+VLOOKUP(B4,[3]Flujo!$B:$E,4,0)</f>
        <v>393820914</v>
      </c>
      <c r="F4" s="105"/>
      <c r="G4" s="275">
        <f>ROUND(+(D4-E4),0)</f>
        <v>10015188</v>
      </c>
      <c r="H4" s="306">
        <f>+IFERROR(G4/E4,1)</f>
        <v>2.5430818029130876E-2</v>
      </c>
      <c r="K4" s="269"/>
      <c r="L4" s="269"/>
    </row>
    <row r="5" spans="2:12" s="106" customFormat="1" ht="21" customHeight="1">
      <c r="B5" s="96" t="s">
        <v>136</v>
      </c>
      <c r="C5" s="97"/>
      <c r="D5" s="313">
        <f>+VLOOKUP(B5,[3]Flujo!$B:$E,3,0)</f>
        <v>0</v>
      </c>
      <c r="E5" s="313">
        <f>+VLOOKUP(B5,[3]Flujo!$B:$E,4,0)</f>
        <v>0</v>
      </c>
      <c r="F5" s="105"/>
      <c r="G5" s="275">
        <f t="shared" ref="G5:G62" si="0">ROUND(+(D5-E5),0)</f>
        <v>0</v>
      </c>
      <c r="H5" s="306"/>
    </row>
    <row r="6" spans="2:12" s="106" customFormat="1" ht="21" customHeight="1">
      <c r="B6" s="96" t="s">
        <v>135</v>
      </c>
      <c r="C6" s="97"/>
      <c r="D6" s="313">
        <f>+VLOOKUP(B6,[3]Flujo!$B:$E,3,0)</f>
        <v>0</v>
      </c>
      <c r="E6" s="313">
        <f>+VLOOKUP(B6,[3]Flujo!$B:$E,4,0)</f>
        <v>0</v>
      </c>
      <c r="F6" s="105"/>
      <c r="G6" s="275">
        <f t="shared" si="0"/>
        <v>0</v>
      </c>
      <c r="H6" s="306"/>
    </row>
    <row r="7" spans="2:12" s="106" customFormat="1" ht="21" customHeight="1">
      <c r="B7" s="96" t="s">
        <v>137</v>
      </c>
      <c r="C7" s="97"/>
      <c r="D7" s="313">
        <f>+VLOOKUP(B7,[3]Flujo!$B:$E,3,0)</f>
        <v>0</v>
      </c>
      <c r="E7" s="313">
        <f>+VLOOKUP(B7,[3]Flujo!$B:$E,4,0)</f>
        <v>0</v>
      </c>
      <c r="F7" s="105"/>
      <c r="G7" s="275">
        <f t="shared" si="0"/>
        <v>0</v>
      </c>
      <c r="H7" s="306">
        <f t="shared" ref="H7:H64" si="1">+IFERROR(G7/E7,1)</f>
        <v>1</v>
      </c>
      <c r="K7" s="269"/>
      <c r="L7" s="269"/>
    </row>
    <row r="8" spans="2:12" s="106" customFormat="1" ht="21" customHeight="1">
      <c r="B8" s="96" t="s">
        <v>138</v>
      </c>
      <c r="C8" s="97"/>
      <c r="D8" s="313">
        <f>+VLOOKUP(B8,[3]Flujo!$B:$E,3,0)</f>
        <v>5866449</v>
      </c>
      <c r="E8" s="313">
        <f>+VLOOKUP(B8,[3]Flujo!$B:$E,4,0)</f>
        <v>2197245</v>
      </c>
      <c r="F8" s="105"/>
      <c r="G8" s="275">
        <f t="shared" si="0"/>
        <v>3669204</v>
      </c>
      <c r="H8" s="306">
        <f t="shared" si="1"/>
        <v>1.6699111842329826</v>
      </c>
      <c r="K8" s="269"/>
      <c r="L8" s="269"/>
    </row>
    <row r="9" spans="2:12" s="106" customFormat="1" ht="21" customHeight="1">
      <c r="B9" s="98" t="s">
        <v>133</v>
      </c>
      <c r="C9" s="97"/>
      <c r="D9" s="314">
        <f>SUM(D4:D8)</f>
        <v>409702551</v>
      </c>
      <c r="E9" s="315">
        <f>SUM(E4:E8)</f>
        <v>396018159</v>
      </c>
      <c r="F9" s="105"/>
      <c r="G9" s="276">
        <f t="shared" si="0"/>
        <v>13684392</v>
      </c>
      <c r="H9" s="308">
        <f t="shared" si="1"/>
        <v>3.4554960900164175E-2</v>
      </c>
      <c r="K9" s="269"/>
      <c r="L9" s="269"/>
    </row>
    <row r="10" spans="2:12" s="106" customFormat="1" ht="21" customHeight="1">
      <c r="B10" s="96" t="s">
        <v>139</v>
      </c>
      <c r="C10" s="97"/>
      <c r="D10" s="313">
        <f>+VLOOKUP(B10,[3]Flujo!$B:$E,3,0)</f>
        <v>-141286632</v>
      </c>
      <c r="E10" s="313">
        <f>+VLOOKUP(B10,[3]Flujo!$B:$E,4,0)</f>
        <v>-136314012</v>
      </c>
      <c r="F10" s="105"/>
      <c r="G10" s="366">
        <f t="shared" si="0"/>
        <v>-4972620</v>
      </c>
      <c r="H10" s="306">
        <f t="shared" si="1"/>
        <v>3.6479155202327987E-2</v>
      </c>
      <c r="K10" s="269"/>
      <c r="L10" s="269"/>
    </row>
    <row r="11" spans="2:12" s="106" customFormat="1" ht="21" customHeight="1">
      <c r="B11" s="96" t="s">
        <v>140</v>
      </c>
      <c r="C11" s="97"/>
      <c r="D11" s="313">
        <f>+VLOOKUP(B11,[3]Flujo!$B:$E,3,0)</f>
        <v>0</v>
      </c>
      <c r="E11" s="313">
        <f>+VLOOKUP(B11,[3]Flujo!$B:$E,4,0)</f>
        <v>0</v>
      </c>
      <c r="F11" s="105"/>
      <c r="G11" s="275">
        <f t="shared" si="0"/>
        <v>0</v>
      </c>
      <c r="H11" s="306">
        <f t="shared" si="1"/>
        <v>1</v>
      </c>
      <c r="K11" s="269"/>
      <c r="L11" s="269"/>
    </row>
    <row r="12" spans="2:12" s="106" customFormat="1" ht="21" customHeight="1">
      <c r="B12" s="96" t="s">
        <v>141</v>
      </c>
      <c r="C12" s="99"/>
      <c r="D12" s="313">
        <f>+VLOOKUP(B12,[3]Flujo!$B:$E,3,0)</f>
        <v>-40446841</v>
      </c>
      <c r="E12" s="313">
        <f>+VLOOKUP(B12,[3]Flujo!$B:$E,4,0)</f>
        <v>-38999500</v>
      </c>
      <c r="F12" s="105"/>
      <c r="G12" s="275">
        <f t="shared" si="0"/>
        <v>-1447341</v>
      </c>
      <c r="H12" s="306">
        <f t="shared" si="1"/>
        <v>3.7111783484403645E-2</v>
      </c>
      <c r="K12" s="269"/>
      <c r="L12" s="269"/>
    </row>
    <row r="13" spans="2:12" s="106" customFormat="1" ht="21" customHeight="1">
      <c r="B13" s="96" t="s">
        <v>142</v>
      </c>
      <c r="C13" s="97"/>
      <c r="D13" s="313">
        <f>+VLOOKUP(B13,[3]Flujo!$B:$E,3,0)</f>
        <v>0</v>
      </c>
      <c r="E13" s="313">
        <f>+VLOOKUP(B13,[3]Flujo!$B:$E,4,0)</f>
        <v>0</v>
      </c>
      <c r="F13" s="105"/>
      <c r="G13" s="366">
        <f>ROUND(+(D13-E13),0)</f>
        <v>0</v>
      </c>
      <c r="H13" s="306">
        <f t="shared" si="1"/>
        <v>1</v>
      </c>
      <c r="K13" s="269"/>
      <c r="L13" s="269"/>
    </row>
    <row r="14" spans="2:12" s="106" customFormat="1" ht="21" customHeight="1">
      <c r="B14" s="96" t="s">
        <v>143</v>
      </c>
      <c r="C14" s="97"/>
      <c r="D14" s="313">
        <f>+VLOOKUP(B14,[3]Flujo!$B:$E,3,0)</f>
        <v>-33367608</v>
      </c>
      <c r="E14" s="313">
        <f>+VLOOKUP(B14,[3]Flujo!$B:$E,4,0)</f>
        <v>-31827850</v>
      </c>
      <c r="F14" s="105"/>
      <c r="G14" s="275">
        <f t="shared" si="0"/>
        <v>-1539758</v>
      </c>
      <c r="H14" s="306">
        <f t="shared" si="1"/>
        <v>4.8377694377722658E-2</v>
      </c>
      <c r="I14" s="106" t="s">
        <v>319</v>
      </c>
      <c r="K14" s="269"/>
      <c r="L14" s="269"/>
    </row>
    <row r="15" spans="2:12" s="106" customFormat="1" ht="21" customHeight="1">
      <c r="B15" s="98" t="s">
        <v>223</v>
      </c>
      <c r="C15" s="97"/>
      <c r="D15" s="314">
        <f>SUM(D10:D14)</f>
        <v>-215101081</v>
      </c>
      <c r="E15" s="315">
        <f>SUM(E10:E14)</f>
        <v>-207141362</v>
      </c>
      <c r="F15" s="105"/>
      <c r="G15" s="276">
        <f t="shared" si="0"/>
        <v>-7959719</v>
      </c>
      <c r="H15" s="308">
        <f t="shared" si="1"/>
        <v>3.8426507015049946E-2</v>
      </c>
      <c r="K15" s="269"/>
      <c r="L15" s="269"/>
    </row>
    <row r="16" spans="2:12" s="106" customFormat="1" ht="21" customHeight="1">
      <c r="B16" s="96" t="s">
        <v>361</v>
      </c>
      <c r="C16" s="97"/>
      <c r="D16" s="313">
        <f>+VLOOKUP(B16,[3]Flujo!$B:$E,3,0)</f>
        <v>0</v>
      </c>
      <c r="E16" s="313">
        <f>+VLOOKUP(B16,[3]Flujo!$B:$E,4,0)</f>
        <v>0</v>
      </c>
      <c r="F16" s="105"/>
      <c r="G16" s="275"/>
      <c r="H16" s="306">
        <f t="shared" si="1"/>
        <v>1</v>
      </c>
      <c r="K16" s="269"/>
      <c r="L16" s="269"/>
    </row>
    <row r="17" spans="2:12" s="106" customFormat="1" ht="21" customHeight="1">
      <c r="B17" s="96" t="s">
        <v>362</v>
      </c>
      <c r="C17" s="97"/>
      <c r="D17" s="313">
        <f>+VLOOKUP(B17,[3]Flujo!$B:$E,3,0)</f>
        <v>0</v>
      </c>
      <c r="E17" s="313">
        <f>+VLOOKUP(B17,[3]Flujo!$B:$E,4,0)</f>
        <v>0</v>
      </c>
      <c r="F17" s="105"/>
      <c r="G17" s="275"/>
      <c r="H17" s="306">
        <f t="shared" si="1"/>
        <v>1</v>
      </c>
      <c r="K17" s="269"/>
      <c r="L17" s="269"/>
    </row>
    <row r="18" spans="2:12" s="106" customFormat="1" ht="21" customHeight="1">
      <c r="B18" s="96" t="s">
        <v>363</v>
      </c>
      <c r="C18" s="97"/>
      <c r="D18" s="313">
        <f>+VLOOKUP(B18,[3]Flujo!$B:$E,3,0)</f>
        <v>-22569771</v>
      </c>
      <c r="E18" s="313">
        <f>+VLOOKUP(B18,[3]Flujo!$B:$E,4,0)</f>
        <v>-24123985</v>
      </c>
      <c r="F18" s="105"/>
      <c r="G18" s="366">
        <f t="shared" si="0"/>
        <v>1554214</v>
      </c>
      <c r="H18" s="306">
        <f t="shared" si="1"/>
        <v>-6.4426088807466919E-2</v>
      </c>
      <c r="K18" s="269"/>
      <c r="L18" s="269"/>
    </row>
    <row r="19" spans="2:12" s="106" customFormat="1" ht="21" customHeight="1">
      <c r="B19" s="96" t="s">
        <v>364</v>
      </c>
      <c r="C19" s="97"/>
      <c r="D19" s="313">
        <f>+VLOOKUP(B19,[3]Flujo!$B:$E,3,0)</f>
        <v>3195945</v>
      </c>
      <c r="E19" s="313">
        <f>+VLOOKUP(B19,[3]Flujo!$B:$E,4,0)</f>
        <v>9401101</v>
      </c>
      <c r="F19" s="105"/>
      <c r="G19" s="275">
        <f t="shared" si="0"/>
        <v>-6205156</v>
      </c>
      <c r="H19" s="306">
        <f t="shared" si="1"/>
        <v>-0.66004566911896811</v>
      </c>
      <c r="I19" s="106" t="s">
        <v>323</v>
      </c>
      <c r="K19" s="269"/>
      <c r="L19" s="269"/>
    </row>
    <row r="20" spans="2:12" s="106" customFormat="1" ht="21" customHeight="1">
      <c r="B20" s="96" t="s">
        <v>360</v>
      </c>
      <c r="C20" s="97"/>
      <c r="D20" s="313">
        <f>+VLOOKUP(B20,[3]Flujo!$B:$E,3,0)</f>
        <v>-20737775</v>
      </c>
      <c r="E20" s="313">
        <f>+VLOOKUP(B20,[3]Flujo!$B:$E,4,0)</f>
        <v>-30392773</v>
      </c>
      <c r="F20" s="105"/>
      <c r="G20" s="366">
        <f t="shared" si="0"/>
        <v>9654998</v>
      </c>
      <c r="H20" s="306">
        <f t="shared" si="1"/>
        <v>-0.31767413917775783</v>
      </c>
      <c r="K20" s="269"/>
      <c r="L20" s="269"/>
    </row>
    <row r="21" spans="2:12" s="106" customFormat="1" ht="21" customHeight="1">
      <c r="B21" s="96" t="s">
        <v>365</v>
      </c>
      <c r="C21" s="97"/>
      <c r="D21" s="313">
        <f>+VLOOKUP(B21,[3]Flujo!$B:$E,3,0)</f>
        <v>-4970871</v>
      </c>
      <c r="E21" s="313">
        <f>+VLOOKUP(B21,[3]Flujo!$B:$E,4,0)</f>
        <v>-11264440</v>
      </c>
      <c r="F21" s="105"/>
      <c r="G21" s="275">
        <f t="shared" si="0"/>
        <v>6293569</v>
      </c>
      <c r="H21" s="306">
        <f t="shared" si="1"/>
        <v>-0.55871121866688445</v>
      </c>
      <c r="K21" s="269"/>
      <c r="L21" s="269"/>
    </row>
    <row r="22" spans="2:12" s="106" customFormat="1" ht="21" customHeight="1" thickBot="1">
      <c r="B22" s="98" t="s">
        <v>308</v>
      </c>
      <c r="C22" s="97"/>
      <c r="D22" s="315">
        <f>SUM(D16:D21)</f>
        <v>-45082472</v>
      </c>
      <c r="E22" s="315">
        <f>SUM(E16:E21)</f>
        <v>-56380097</v>
      </c>
      <c r="F22" s="105"/>
      <c r="G22" s="276">
        <f t="shared" si="0"/>
        <v>11297625</v>
      </c>
      <c r="H22" s="308">
        <f t="shared" si="1"/>
        <v>-0.20038321324633407</v>
      </c>
      <c r="K22" s="269"/>
      <c r="L22" s="269"/>
    </row>
    <row r="23" spans="2:12" s="106" customFormat="1" ht="21" customHeight="1" thickBot="1">
      <c r="B23" s="108" t="s">
        <v>309</v>
      </c>
      <c r="C23" s="109"/>
      <c r="D23" s="316">
        <f>+D9+D15+D22</f>
        <v>149518998</v>
      </c>
      <c r="E23" s="316">
        <f>+E9+E15+E22</f>
        <v>132496700</v>
      </c>
      <c r="F23" s="105"/>
      <c r="G23" s="298">
        <f>ROUND(+(D23-E23),0)</f>
        <v>17022298</v>
      </c>
      <c r="H23" s="309">
        <f t="shared" si="1"/>
        <v>0.12847337329910857</v>
      </c>
      <c r="K23" s="269"/>
      <c r="L23" s="269"/>
    </row>
    <row r="24" spans="2:12" s="106" customFormat="1" ht="21" customHeight="1">
      <c r="B24" s="107" t="s">
        <v>148</v>
      </c>
      <c r="C24" s="104"/>
      <c r="D24" s="313">
        <f>+VLOOKUP(B24,[3]Flujo!$B:$E,3,0)</f>
        <v>0</v>
      </c>
      <c r="E24" s="313">
        <f>+VLOOKUP(B24,[3]Flujo!$B:$E,4,0)</f>
        <v>0</v>
      </c>
      <c r="F24" s="105"/>
      <c r="G24" s="275">
        <f t="shared" si="0"/>
        <v>0</v>
      </c>
      <c r="H24" s="306">
        <f t="shared" si="1"/>
        <v>1</v>
      </c>
      <c r="K24" s="269"/>
      <c r="L24" s="269"/>
    </row>
    <row r="25" spans="2:12" s="106" customFormat="1" ht="21" customHeight="1">
      <c r="B25" s="107" t="s">
        <v>149</v>
      </c>
      <c r="C25" s="104"/>
      <c r="D25" s="313">
        <f>+VLOOKUP(B25,[3]Flujo!$B:$E,3,0)</f>
        <v>0</v>
      </c>
      <c r="E25" s="313">
        <f>+VLOOKUP(B25,[3]Flujo!$B:$E,4,0)</f>
        <v>0</v>
      </c>
      <c r="F25" s="105"/>
      <c r="G25" s="275">
        <f t="shared" si="0"/>
        <v>0</v>
      </c>
      <c r="H25" s="306">
        <f t="shared" si="1"/>
        <v>1</v>
      </c>
      <c r="K25" s="269"/>
      <c r="L25" s="269"/>
    </row>
    <row r="26" spans="2:12" s="106" customFormat="1" ht="21" customHeight="1">
      <c r="B26" s="107" t="s">
        <v>150</v>
      </c>
      <c r="C26" s="104"/>
      <c r="D26" s="313">
        <f>+VLOOKUP(B26,[3]Flujo!$B:$E,3,0)</f>
        <v>0</v>
      </c>
      <c r="E26" s="313">
        <f>+VLOOKUP(B26,[3]Flujo!$B:$E,4,0)</f>
        <v>0</v>
      </c>
      <c r="F26" s="105"/>
      <c r="G26" s="275">
        <f t="shared" si="0"/>
        <v>0</v>
      </c>
      <c r="H26" s="306">
        <f t="shared" si="1"/>
        <v>1</v>
      </c>
      <c r="K26" s="269"/>
      <c r="L26" s="269"/>
    </row>
    <row r="27" spans="2:12" s="106" customFormat="1" ht="21" customHeight="1">
      <c r="B27" s="107" t="s">
        <v>151</v>
      </c>
      <c r="C27" s="104"/>
      <c r="D27" s="313">
        <f>+VLOOKUP(B27,[3]Flujo!$B:$E,3,0)</f>
        <v>0</v>
      </c>
      <c r="E27" s="313">
        <f>+VLOOKUP(B27,[3]Flujo!$B:$E,4,0)</f>
        <v>0</v>
      </c>
      <c r="F27" s="105"/>
      <c r="G27" s="275">
        <f t="shared" si="0"/>
        <v>0</v>
      </c>
      <c r="H27" s="306">
        <f t="shared" si="1"/>
        <v>1</v>
      </c>
      <c r="K27" s="269"/>
      <c r="L27" s="269"/>
    </row>
    <row r="28" spans="2:12" s="106" customFormat="1" ht="21" customHeight="1">
      <c r="B28" s="107" t="s">
        <v>152</v>
      </c>
      <c r="C28" s="104"/>
      <c r="D28" s="313">
        <f>+VLOOKUP(B28,[3]Flujo!$B:$E,3,0)</f>
        <v>0</v>
      </c>
      <c r="E28" s="313">
        <f>+VLOOKUP(B28,[3]Flujo!$B:$E,4,0)</f>
        <v>0</v>
      </c>
      <c r="F28" s="105"/>
      <c r="G28" s="275">
        <f t="shared" si="0"/>
        <v>0</v>
      </c>
      <c r="H28" s="306">
        <f t="shared" si="1"/>
        <v>1</v>
      </c>
      <c r="K28" s="269"/>
      <c r="L28" s="269"/>
    </row>
    <row r="29" spans="2:12" s="106" customFormat="1" ht="21" customHeight="1">
      <c r="B29" s="107" t="s">
        <v>153</v>
      </c>
      <c r="C29" s="104"/>
      <c r="D29" s="313">
        <f>+VLOOKUP(B29,[3]Flujo!$B:$E,3,0)</f>
        <v>0</v>
      </c>
      <c r="E29" s="313">
        <f>+VLOOKUP(B29,[3]Flujo!$B:$E,4,0)</f>
        <v>0</v>
      </c>
      <c r="F29" s="105"/>
      <c r="G29" s="275">
        <f t="shared" si="0"/>
        <v>0</v>
      </c>
      <c r="H29" s="306">
        <f t="shared" si="1"/>
        <v>1</v>
      </c>
      <c r="K29" s="269"/>
      <c r="L29" s="269"/>
    </row>
    <row r="30" spans="2:12" s="106" customFormat="1" ht="21" customHeight="1">
      <c r="B30" s="107" t="s">
        <v>154</v>
      </c>
      <c r="C30" s="104"/>
      <c r="D30" s="313">
        <f>+VLOOKUP(B30,[3]Flujo!$B:$E,3,0)</f>
        <v>0</v>
      </c>
      <c r="E30" s="313">
        <f>+VLOOKUP(B30,[3]Flujo!$B:$E,4,0)</f>
        <v>0</v>
      </c>
      <c r="F30" s="105"/>
      <c r="G30" s="275">
        <f t="shared" si="0"/>
        <v>0</v>
      </c>
      <c r="H30" s="306">
        <f t="shared" si="1"/>
        <v>1</v>
      </c>
      <c r="K30" s="269"/>
      <c r="L30" s="269"/>
    </row>
    <row r="31" spans="2:12" s="106" customFormat="1" ht="21" customHeight="1">
      <c r="B31" s="107" t="s">
        <v>155</v>
      </c>
      <c r="C31" s="104"/>
      <c r="D31" s="313">
        <f>+VLOOKUP(B31,[3]Flujo!$B:$E,3,0)</f>
        <v>0</v>
      </c>
      <c r="E31" s="313">
        <f>+VLOOKUP(B31,[3]Flujo!$B:$E,4,0)</f>
        <v>0</v>
      </c>
      <c r="F31" s="105"/>
      <c r="G31" s="275">
        <f t="shared" si="0"/>
        <v>0</v>
      </c>
      <c r="H31" s="306">
        <f t="shared" si="1"/>
        <v>1</v>
      </c>
      <c r="K31" s="269"/>
      <c r="L31" s="269"/>
    </row>
    <row r="32" spans="2:12" s="106" customFormat="1" ht="21" customHeight="1">
      <c r="B32" s="107" t="s">
        <v>291</v>
      </c>
      <c r="C32" s="104"/>
      <c r="D32" s="313">
        <f>+VLOOKUP(B32,[3]Flujo!$B:$E,3,0)</f>
        <v>4056384</v>
      </c>
      <c r="E32" s="313">
        <f>+VLOOKUP(B32,[3]Flujo!$B:$E,4,0)</f>
        <v>4998196</v>
      </c>
      <c r="F32" s="105"/>
      <c r="G32" s="275">
        <f t="shared" si="0"/>
        <v>-941812</v>
      </c>
      <c r="H32" s="306">
        <f t="shared" si="1"/>
        <v>-0.18843038568315448</v>
      </c>
      <c r="K32" s="269"/>
      <c r="L32" s="269"/>
    </row>
    <row r="33" spans="2:12" s="106" customFormat="1" ht="21" customHeight="1">
      <c r="B33" s="107" t="s">
        <v>156</v>
      </c>
      <c r="C33" s="104"/>
      <c r="D33" s="313">
        <f>+VLOOKUP(B33,[3]Flujo!$B:$E,3,0)</f>
        <v>-99369959</v>
      </c>
      <c r="E33" s="313">
        <f>+VLOOKUP(B33,[3]Flujo!$B:$E,4,0)</f>
        <v>-67549350</v>
      </c>
      <c r="F33" s="105"/>
      <c r="G33" s="275">
        <f t="shared" si="0"/>
        <v>-31820609</v>
      </c>
      <c r="H33" s="306">
        <f t="shared" si="1"/>
        <v>0.47107202363901357</v>
      </c>
      <c r="K33" s="269"/>
      <c r="L33" s="269"/>
    </row>
    <row r="34" spans="2:12" s="106" customFormat="1" ht="21" customHeight="1">
      <c r="B34" s="107" t="s">
        <v>235</v>
      </c>
      <c r="C34" s="104"/>
      <c r="D34" s="313">
        <f>+VLOOKUP(B34,[3]Flujo!$B:$E,3,0)</f>
        <v>0</v>
      </c>
      <c r="E34" s="313">
        <f>+VLOOKUP(B34,[3]Flujo!$B:$E,4,0)</f>
        <v>0</v>
      </c>
      <c r="F34" s="105"/>
      <c r="G34" s="275">
        <f t="shared" si="0"/>
        <v>0</v>
      </c>
      <c r="H34" s="306">
        <f t="shared" si="1"/>
        <v>1</v>
      </c>
      <c r="K34" s="269"/>
      <c r="L34" s="269"/>
    </row>
    <row r="35" spans="2:12" s="106" customFormat="1" ht="21" customHeight="1">
      <c r="B35" s="107" t="s">
        <v>157</v>
      </c>
      <c r="C35" s="104"/>
      <c r="D35" s="313">
        <f>+VLOOKUP(B35,[3]Flujo!$B:$E,3,0)</f>
        <v>-2190079</v>
      </c>
      <c r="E35" s="313">
        <f>+VLOOKUP(B35,[3]Flujo!$B:$E,4,0)</f>
        <v>-2260943</v>
      </c>
      <c r="F35" s="105"/>
      <c r="G35" s="275">
        <f t="shared" si="0"/>
        <v>70864</v>
      </c>
      <c r="H35" s="306">
        <f t="shared" si="1"/>
        <v>-3.1342674273522157E-2</v>
      </c>
      <c r="K35" s="269"/>
      <c r="L35" s="269"/>
    </row>
    <row r="36" spans="2:12" s="106" customFormat="1" ht="21" customHeight="1">
      <c r="B36" s="107" t="s">
        <v>224</v>
      </c>
      <c r="C36" s="104"/>
      <c r="D36" s="313">
        <f>+VLOOKUP(B36,[3]Flujo!$B:$E,3,0)</f>
        <v>0</v>
      </c>
      <c r="E36" s="313">
        <f>+VLOOKUP(B36,[3]Flujo!$B:$E,4,0)</f>
        <v>0</v>
      </c>
      <c r="F36" s="105"/>
      <c r="G36" s="275">
        <f t="shared" si="0"/>
        <v>0</v>
      </c>
      <c r="H36" s="306">
        <f t="shared" si="1"/>
        <v>1</v>
      </c>
      <c r="K36" s="269"/>
      <c r="L36" s="269"/>
    </row>
    <row r="37" spans="2:12" s="106" customFormat="1" ht="21" customHeight="1">
      <c r="B37" s="107" t="s">
        <v>158</v>
      </c>
      <c r="C37" s="104"/>
      <c r="D37" s="313">
        <f>+VLOOKUP(B37,[3]Flujo!$B:$E,3,0)</f>
        <v>0</v>
      </c>
      <c r="E37" s="313">
        <f>+VLOOKUP(B37,[3]Flujo!$B:$E,4,0)</f>
        <v>0</v>
      </c>
      <c r="F37" s="105"/>
      <c r="G37" s="275">
        <f t="shared" si="0"/>
        <v>0</v>
      </c>
      <c r="H37" s="306">
        <f t="shared" si="1"/>
        <v>1</v>
      </c>
      <c r="K37" s="269"/>
      <c r="L37" s="269"/>
    </row>
    <row r="38" spans="2:12" s="106" customFormat="1" ht="21" customHeight="1">
      <c r="B38" s="107" t="s">
        <v>366</v>
      </c>
      <c r="C38" s="104"/>
      <c r="D38" s="313">
        <f>+VLOOKUP(B38,[3]Flujo!$B:$E,3,0)</f>
        <v>0</v>
      </c>
      <c r="E38" s="313">
        <f>+VLOOKUP(B38,[3]Flujo!$B:$E,4,0)</f>
        <v>0</v>
      </c>
      <c r="F38" s="105"/>
      <c r="G38" s="275">
        <f t="shared" si="0"/>
        <v>0</v>
      </c>
      <c r="H38" s="306">
        <f t="shared" si="1"/>
        <v>1</v>
      </c>
      <c r="K38" s="269"/>
      <c r="L38" s="269"/>
    </row>
    <row r="39" spans="2:12" s="106" customFormat="1" ht="21" customHeight="1">
      <c r="B39" s="107" t="s">
        <v>160</v>
      </c>
      <c r="C39" s="104"/>
      <c r="D39" s="313">
        <f>+VLOOKUP(B39,[3]Flujo!$B:$E,3,0)</f>
        <v>0</v>
      </c>
      <c r="E39" s="313">
        <f>+VLOOKUP(B39,[3]Flujo!$B:$E,4,0)</f>
        <v>0</v>
      </c>
      <c r="F39" s="105"/>
      <c r="G39" s="275">
        <f t="shared" si="0"/>
        <v>0</v>
      </c>
      <c r="H39" s="306">
        <f t="shared" si="1"/>
        <v>1</v>
      </c>
      <c r="K39" s="269"/>
      <c r="L39" s="269"/>
    </row>
    <row r="40" spans="2:12" s="106" customFormat="1" ht="21" customHeight="1">
      <c r="B40" s="107" t="s">
        <v>161</v>
      </c>
      <c r="C40" s="104"/>
      <c r="D40" s="313">
        <f>+VLOOKUP(B40,[3]Flujo!$B:$E,3,0)</f>
        <v>0</v>
      </c>
      <c r="E40" s="313">
        <f>+VLOOKUP(B40,[3]Flujo!$B:$E,4,0)</f>
        <v>0</v>
      </c>
      <c r="F40" s="105"/>
      <c r="G40" s="275">
        <f t="shared" si="0"/>
        <v>0</v>
      </c>
      <c r="H40" s="306">
        <f t="shared" si="1"/>
        <v>1</v>
      </c>
      <c r="K40" s="269"/>
      <c r="L40" s="269"/>
    </row>
    <row r="41" spans="2:12" s="106" customFormat="1" ht="21" customHeight="1">
      <c r="B41" s="107" t="s">
        <v>162</v>
      </c>
      <c r="C41" s="104"/>
      <c r="D41" s="313">
        <f>+VLOOKUP(B41,[3]Flujo!$B:$E,3,0)</f>
        <v>0</v>
      </c>
      <c r="E41" s="313">
        <f>+VLOOKUP(B41,[3]Flujo!$B:$E,4,0)</f>
        <v>0</v>
      </c>
      <c r="F41" s="105"/>
      <c r="G41" s="275">
        <f t="shared" si="0"/>
        <v>0</v>
      </c>
      <c r="H41" s="306">
        <f t="shared" si="1"/>
        <v>1</v>
      </c>
      <c r="K41" s="269"/>
      <c r="L41" s="269"/>
    </row>
    <row r="42" spans="2:12" s="106" customFormat="1" ht="21" customHeight="1">
      <c r="B42" s="107" t="s">
        <v>163</v>
      </c>
      <c r="C42" s="104"/>
      <c r="D42" s="313">
        <f>+VLOOKUP(B42,[3]Flujo!$B:$E,3,0)</f>
        <v>0</v>
      </c>
      <c r="E42" s="313">
        <f>+VLOOKUP(B42,[3]Flujo!$B:$E,4,0)</f>
        <v>0</v>
      </c>
      <c r="F42" s="105"/>
      <c r="G42" s="275">
        <f t="shared" si="0"/>
        <v>0</v>
      </c>
      <c r="H42" s="306">
        <f t="shared" si="1"/>
        <v>1</v>
      </c>
      <c r="K42" s="269"/>
      <c r="L42" s="269"/>
    </row>
    <row r="43" spans="2:12" s="106" customFormat="1" ht="21" customHeight="1">
      <c r="B43" s="107" t="s">
        <v>225</v>
      </c>
      <c r="C43" s="104"/>
      <c r="D43" s="313">
        <f>+VLOOKUP(B43,[3]Flujo!$B:$E,3,0)</f>
        <v>0</v>
      </c>
      <c r="E43" s="313">
        <f>+VLOOKUP(B43,[3]Flujo!$B:$E,4,0)</f>
        <v>0</v>
      </c>
      <c r="F43" s="105"/>
      <c r="G43" s="275">
        <f t="shared" si="0"/>
        <v>0</v>
      </c>
      <c r="H43" s="306">
        <f t="shared" si="1"/>
        <v>1</v>
      </c>
      <c r="K43" s="269"/>
      <c r="L43" s="269"/>
    </row>
    <row r="44" spans="2:12" s="106" customFormat="1" ht="21" customHeight="1">
      <c r="B44" s="107" t="s">
        <v>145</v>
      </c>
      <c r="C44" s="104"/>
      <c r="D44" s="313">
        <f>+VLOOKUP(B44,[3]Flujo!$B:$E,3,0)</f>
        <v>0</v>
      </c>
      <c r="E44" s="313">
        <f>+VLOOKUP(B44,[3]Flujo!$B:$E,4,0)</f>
        <v>0</v>
      </c>
      <c r="F44" s="105"/>
      <c r="G44" s="275">
        <f t="shared" si="0"/>
        <v>0</v>
      </c>
      <c r="H44" s="306">
        <f t="shared" si="1"/>
        <v>1</v>
      </c>
      <c r="K44" s="269"/>
      <c r="L44" s="269"/>
    </row>
    <row r="45" spans="2:12" s="106" customFormat="1" ht="21" customHeight="1">
      <c r="B45" s="107" t="s">
        <v>147</v>
      </c>
      <c r="C45" s="104"/>
      <c r="D45" s="313">
        <f>+VLOOKUP(B45,[3]Flujo!$B:$E,3,0)</f>
        <v>0</v>
      </c>
      <c r="E45" s="313">
        <f>+VLOOKUP(B45,[3]Flujo!$B:$E,4,0)</f>
        <v>0</v>
      </c>
      <c r="F45" s="105"/>
      <c r="G45" s="275">
        <f t="shared" si="0"/>
        <v>0</v>
      </c>
      <c r="H45" s="306">
        <f t="shared" si="1"/>
        <v>1</v>
      </c>
      <c r="K45" s="269"/>
      <c r="L45" s="269"/>
    </row>
    <row r="46" spans="2:12" s="106" customFormat="1" ht="21" customHeight="1">
      <c r="B46" s="107" t="s">
        <v>367</v>
      </c>
      <c r="C46" s="104"/>
      <c r="D46" s="313">
        <f>+VLOOKUP(B46,[3]Flujo!$B:$E,3,0)</f>
        <v>0</v>
      </c>
      <c r="E46" s="313">
        <f>+VLOOKUP(B46,[3]Flujo!$B:$E,4,0)</f>
        <v>0</v>
      </c>
      <c r="F46" s="105"/>
      <c r="G46" s="275">
        <f t="shared" si="0"/>
        <v>0</v>
      </c>
      <c r="H46" s="306">
        <f t="shared" si="1"/>
        <v>1</v>
      </c>
      <c r="K46" s="269"/>
      <c r="L46" s="269"/>
    </row>
    <row r="47" spans="2:12" s="106" customFormat="1" ht="21" customHeight="1" thickBot="1">
      <c r="B47" s="107" t="s">
        <v>368</v>
      </c>
      <c r="C47" s="104"/>
      <c r="D47" s="313">
        <f>+VLOOKUP(B47,[3]Flujo!$B:$E,3,0)</f>
        <v>0</v>
      </c>
      <c r="E47" s="313">
        <f>+VLOOKUP(B47,[3]Flujo!$B:$E,4,0)</f>
        <v>59090</v>
      </c>
      <c r="F47" s="105"/>
      <c r="G47" s="275">
        <f t="shared" si="0"/>
        <v>-59090</v>
      </c>
      <c r="H47" s="306">
        <f t="shared" si="1"/>
        <v>-1</v>
      </c>
      <c r="K47" s="269"/>
      <c r="L47" s="269"/>
    </row>
    <row r="48" spans="2:12" s="106" customFormat="1" ht="21" customHeight="1" thickBot="1">
      <c r="B48" s="108" t="s">
        <v>226</v>
      </c>
      <c r="C48" s="109"/>
      <c r="D48" s="316">
        <f>SUM(D24:D47)</f>
        <v>-97503654</v>
      </c>
      <c r="E48" s="316">
        <f>SUM(E24:E47)</f>
        <v>-64753007</v>
      </c>
      <c r="F48" s="105"/>
      <c r="G48" s="298">
        <f t="shared" si="0"/>
        <v>-32750647</v>
      </c>
      <c r="H48" s="309">
        <f t="shared" si="1"/>
        <v>0.50577800966061703</v>
      </c>
      <c r="I48" s="361">
        <f>+D48-E48</f>
        <v>-32750647</v>
      </c>
      <c r="J48" s="106">
        <v>39575081</v>
      </c>
      <c r="K48" s="269"/>
      <c r="L48" s="269"/>
    </row>
    <row r="49" spans="2:12" s="106" customFormat="1" ht="21" customHeight="1">
      <c r="B49" s="107" t="s">
        <v>166</v>
      </c>
      <c r="C49" s="104"/>
      <c r="D49" s="313">
        <f>+VLOOKUP(B49,[3]Flujo!$B:$E,3,0)</f>
        <v>0</v>
      </c>
      <c r="E49" s="313">
        <f>+VLOOKUP(B49,[3]Flujo!$B:$E,4,0)</f>
        <v>0</v>
      </c>
      <c r="F49" s="105"/>
      <c r="G49" s="275">
        <f t="shared" si="0"/>
        <v>0</v>
      </c>
      <c r="H49" s="306">
        <f t="shared" si="1"/>
        <v>1</v>
      </c>
      <c r="K49" s="269"/>
      <c r="L49" s="269"/>
    </row>
    <row r="50" spans="2:12" s="106" customFormat="1" ht="21" customHeight="1">
      <c r="B50" s="107" t="s">
        <v>167</v>
      </c>
      <c r="C50" s="104"/>
      <c r="D50" s="313">
        <f>+VLOOKUP(B50,[3]Flujo!$B:$E,3,0)</f>
        <v>0</v>
      </c>
      <c r="E50" s="313">
        <f>+VLOOKUP(B50,[3]Flujo!$B:$E,4,0)</f>
        <v>0</v>
      </c>
      <c r="F50" s="105"/>
      <c r="G50" s="275">
        <f t="shared" si="0"/>
        <v>0</v>
      </c>
      <c r="H50" s="306">
        <f t="shared" si="1"/>
        <v>1</v>
      </c>
      <c r="K50" s="269"/>
      <c r="L50" s="269"/>
    </row>
    <row r="51" spans="2:12" s="106" customFormat="1" ht="21" customHeight="1">
      <c r="B51" s="107" t="s">
        <v>168</v>
      </c>
      <c r="C51" s="104"/>
      <c r="D51" s="313">
        <f>+VLOOKUP(B51,[3]Flujo!$B:$E,3,0)</f>
        <v>0</v>
      </c>
      <c r="E51" s="313">
        <f>+VLOOKUP(B51,[3]Flujo!$B:$E,4,0)</f>
        <v>0</v>
      </c>
      <c r="F51" s="105"/>
      <c r="G51" s="275">
        <f t="shared" si="0"/>
        <v>0</v>
      </c>
      <c r="H51" s="306">
        <f t="shared" si="1"/>
        <v>1</v>
      </c>
      <c r="K51" s="269"/>
      <c r="L51" s="269"/>
    </row>
    <row r="52" spans="2:12" s="106" customFormat="1" ht="21" customHeight="1">
      <c r="B52" s="107" t="s">
        <v>169</v>
      </c>
      <c r="C52" s="104"/>
      <c r="D52" s="313">
        <f>+VLOOKUP(B52,[3]Flujo!$B:$E,3,0)</f>
        <v>0</v>
      </c>
      <c r="E52" s="313">
        <f>+VLOOKUP(B52,[3]Flujo!$B:$E,4,0)</f>
        <v>0</v>
      </c>
      <c r="F52" s="105"/>
      <c r="G52" s="275">
        <f t="shared" si="0"/>
        <v>0</v>
      </c>
      <c r="H52" s="306">
        <f t="shared" si="1"/>
        <v>1</v>
      </c>
      <c r="K52" s="269"/>
      <c r="L52" s="269"/>
    </row>
    <row r="53" spans="2:12" s="106" customFormat="1" ht="21" customHeight="1">
      <c r="B53" s="107" t="s">
        <v>170</v>
      </c>
      <c r="C53" s="104"/>
      <c r="D53" s="313">
        <f>+VLOOKUP(B53,[3]Flujo!$B:$E,3,0)</f>
        <v>108104922</v>
      </c>
      <c r="E53" s="313">
        <f>+VLOOKUP(B53,[3]Flujo!$B:$E,4,0)</f>
        <v>4832921</v>
      </c>
      <c r="F53" s="105"/>
      <c r="G53" s="275">
        <f t="shared" si="0"/>
        <v>103272001</v>
      </c>
      <c r="H53" s="306">
        <f t="shared" si="1"/>
        <v>21.368443845864643</v>
      </c>
      <c r="J53" s="106">
        <v>39602985</v>
      </c>
      <c r="K53" s="269" t="s">
        <v>320</v>
      </c>
      <c r="L53" s="269"/>
    </row>
    <row r="54" spans="2:12" s="106" customFormat="1" ht="21" customHeight="1">
      <c r="B54" s="107" t="s">
        <v>171</v>
      </c>
      <c r="C54" s="104"/>
      <c r="D54" s="313">
        <f>+VLOOKUP(B54,[3]Flujo!$B:$E,3,0)</f>
        <v>30000000</v>
      </c>
      <c r="E54" s="313">
        <f>+VLOOKUP(B54,[3]Flujo!$B:$E,4,0)</f>
        <v>0</v>
      </c>
      <c r="F54" s="105"/>
      <c r="G54" s="275">
        <f t="shared" si="0"/>
        <v>30000000</v>
      </c>
      <c r="H54" s="306">
        <f t="shared" si="1"/>
        <v>1</v>
      </c>
      <c r="J54" s="106">
        <f>+J48-J53</f>
        <v>-27904</v>
      </c>
      <c r="K54" s="269"/>
      <c r="L54" s="269"/>
    </row>
    <row r="55" spans="2:12" s="106" customFormat="1" ht="21" customHeight="1">
      <c r="B55" s="266" t="s">
        <v>310</v>
      </c>
      <c r="C55" s="104"/>
      <c r="D55" s="314">
        <f>+SUM(D49:D54)</f>
        <v>138104922</v>
      </c>
      <c r="E55" s="314">
        <f>+SUM(E49:E54)</f>
        <v>4832921</v>
      </c>
      <c r="F55" s="105"/>
      <c r="G55" s="276">
        <f t="shared" si="0"/>
        <v>133272001</v>
      </c>
      <c r="H55" s="310">
        <f t="shared" si="1"/>
        <v>27.575869955250663</v>
      </c>
      <c r="J55" s="359">
        <v>3182087735</v>
      </c>
      <c r="K55" s="360"/>
      <c r="L55" s="269"/>
    </row>
    <row r="56" spans="2:12" s="106" customFormat="1" ht="21" customHeight="1">
      <c r="B56" s="107" t="s">
        <v>172</v>
      </c>
      <c r="C56" s="104"/>
      <c r="D56" s="313">
        <f>+VLOOKUP(B56,[3]Flujo!$B:$E,3,0)</f>
        <v>0</v>
      </c>
      <c r="E56" s="313">
        <f>+VLOOKUP(B56,[3]Flujo!$B:$E,4,0)</f>
        <v>0</v>
      </c>
      <c r="F56" s="105"/>
      <c r="G56" s="275">
        <f t="shared" si="0"/>
        <v>0</v>
      </c>
      <c r="H56" s="306">
        <f t="shared" si="1"/>
        <v>1</v>
      </c>
      <c r="J56" s="359"/>
      <c r="K56" s="360"/>
      <c r="L56" s="269"/>
    </row>
    <row r="57" spans="2:12" s="106" customFormat="1" ht="21" customHeight="1">
      <c r="B57" s="107" t="s">
        <v>227</v>
      </c>
      <c r="C57" s="104"/>
      <c r="D57" s="313">
        <f>+VLOOKUP(B57,[3]Flujo!$B:$E,3,0)</f>
        <v>-99756698</v>
      </c>
      <c r="E57" s="313">
        <f>+VLOOKUP(B57,[3]Flujo!$B:$E,4,0)</f>
        <v>-34617591</v>
      </c>
      <c r="F57" s="105"/>
      <c r="G57" s="275">
        <f t="shared" si="0"/>
        <v>-65139107</v>
      </c>
      <c r="H57" s="307">
        <f t="shared" si="1"/>
        <v>1.8816764863852022</v>
      </c>
      <c r="J57" s="359">
        <v>5298882643</v>
      </c>
      <c r="K57" s="360" t="s">
        <v>321</v>
      </c>
      <c r="L57" s="269"/>
    </row>
    <row r="58" spans="2:12" s="106" customFormat="1" ht="21" customHeight="1">
      <c r="B58" s="107" t="s">
        <v>173</v>
      </c>
      <c r="C58" s="104"/>
      <c r="D58" s="313">
        <f>+VLOOKUP(B58,[3]Flujo!$B:$E,3,0)</f>
        <v>0</v>
      </c>
      <c r="E58" s="313">
        <f>+VLOOKUP(B58,[3]Flujo!$B:$E,4,0)</f>
        <v>0</v>
      </c>
      <c r="F58" s="105"/>
      <c r="G58" s="275">
        <f t="shared" si="0"/>
        <v>0</v>
      </c>
      <c r="H58" s="307">
        <f t="shared" si="1"/>
        <v>1</v>
      </c>
      <c r="K58" s="269"/>
      <c r="L58" s="269"/>
    </row>
    <row r="59" spans="2:12" s="106" customFormat="1" ht="21" customHeight="1">
      <c r="B59" s="107" t="s">
        <v>174</v>
      </c>
      <c r="C59" s="104"/>
      <c r="D59" s="313">
        <f>+VLOOKUP(B59,[3]Flujo!$B:$E,3,0)</f>
        <v>0</v>
      </c>
      <c r="E59" s="313">
        <f>+VLOOKUP(B59,[3]Flujo!$B:$E,4,0)</f>
        <v>0</v>
      </c>
      <c r="F59" s="105"/>
      <c r="G59" s="275">
        <f t="shared" si="0"/>
        <v>0</v>
      </c>
      <c r="H59" s="307">
        <f t="shared" si="1"/>
        <v>1</v>
      </c>
      <c r="K59" s="269"/>
      <c r="L59" s="269"/>
    </row>
    <row r="60" spans="2:12" s="106" customFormat="1" ht="21" customHeight="1">
      <c r="B60" s="107" t="s">
        <v>159</v>
      </c>
      <c r="C60" s="104"/>
      <c r="D60" s="313">
        <f>+VLOOKUP(B60,[3]Flujo!$B:$E,3,0)</f>
        <v>0</v>
      </c>
      <c r="E60" s="313">
        <f>+VLOOKUP(B60,[3]Flujo!$B:$E,4,0)</f>
        <v>0</v>
      </c>
      <c r="F60" s="105"/>
      <c r="G60" s="275">
        <f t="shared" si="0"/>
        <v>0</v>
      </c>
      <c r="H60" s="307">
        <f t="shared" si="1"/>
        <v>1</v>
      </c>
      <c r="K60" s="269"/>
      <c r="L60" s="269"/>
    </row>
    <row r="61" spans="2:12" s="106" customFormat="1" ht="21" customHeight="1">
      <c r="B61" s="272" t="s">
        <v>144</v>
      </c>
      <c r="C61" s="104"/>
      <c r="D61" s="313">
        <f>+VLOOKUP(B61,[3]Flujo!$B:$E,3,0)</f>
        <v>-90100417</v>
      </c>
      <c r="E61" s="313">
        <f>+VLOOKUP(B61,[3]Flujo!$B:$E,4,0)</f>
        <v>-52128174</v>
      </c>
      <c r="F61" s="105"/>
      <c r="G61" s="275">
        <f t="shared" si="0"/>
        <v>-37972243</v>
      </c>
      <c r="H61" s="307">
        <f t="shared" si="1"/>
        <v>0.72843992195084373</v>
      </c>
      <c r="J61" s="106">
        <v>9827327500</v>
      </c>
      <c r="K61" s="360" t="s">
        <v>322</v>
      </c>
      <c r="L61" s="269"/>
    </row>
    <row r="62" spans="2:12" s="106" customFormat="1" ht="21" customHeight="1">
      <c r="B62" s="107" t="s">
        <v>146</v>
      </c>
      <c r="C62" s="104"/>
      <c r="D62" s="313">
        <f>+VLOOKUP(B62,[3]Flujo!$B:$E,3,0)</f>
        <v>0</v>
      </c>
      <c r="E62" s="313">
        <f>+VLOOKUP(B62,[3]Flujo!$B:$E,4,0)</f>
        <v>0</v>
      </c>
      <c r="F62" s="105"/>
      <c r="G62" s="275">
        <f t="shared" si="0"/>
        <v>0</v>
      </c>
      <c r="H62" s="306">
        <f t="shared" si="1"/>
        <v>1</v>
      </c>
      <c r="K62" s="269"/>
      <c r="L62" s="269"/>
    </row>
    <row r="63" spans="2:12" s="106" customFormat="1" ht="21" customHeight="1">
      <c r="B63" s="107" t="s">
        <v>164</v>
      </c>
      <c r="C63" s="104"/>
      <c r="D63" s="313">
        <f>+VLOOKUP(B63,[3]Flujo!$B:$E,3,0)</f>
        <v>0</v>
      </c>
      <c r="E63" s="313">
        <f>+VLOOKUP(B63,[3]Flujo!$B:$E,4,0)</f>
        <v>0</v>
      </c>
      <c r="F63" s="105"/>
      <c r="G63" s="275">
        <f t="shared" ref="G63:G71" si="2">ROUND(+(D63-E63),0)</f>
        <v>0</v>
      </c>
      <c r="H63" s="306">
        <f t="shared" si="1"/>
        <v>1</v>
      </c>
      <c r="K63" s="269"/>
      <c r="L63" s="269"/>
    </row>
    <row r="64" spans="2:12" s="106" customFormat="1" ht="21" customHeight="1" thickBot="1">
      <c r="B64" s="107" t="s">
        <v>165</v>
      </c>
      <c r="C64" s="104"/>
      <c r="D64" s="313">
        <f>+VLOOKUP(B64,[3]Flujo!$B:$E,3,0)</f>
        <v>-1659644</v>
      </c>
      <c r="E64" s="313">
        <f>+VLOOKUP(B64,[3]Flujo!$B:$E,4,0)</f>
        <v>0</v>
      </c>
      <c r="F64" s="105"/>
      <c r="G64" s="275">
        <f t="shared" si="2"/>
        <v>-1659644</v>
      </c>
      <c r="H64" s="306">
        <f t="shared" si="1"/>
        <v>1</v>
      </c>
      <c r="J64" s="359">
        <v>3887567500</v>
      </c>
      <c r="K64" s="360">
        <v>3634842500</v>
      </c>
    </row>
    <row r="65" spans="2:12" s="106" customFormat="1" ht="21" customHeight="1" thickBot="1">
      <c r="B65" s="108" t="s">
        <v>311</v>
      </c>
      <c r="C65" s="110"/>
      <c r="D65" s="316">
        <f>+SUM(D55:D64)</f>
        <v>-53411837</v>
      </c>
      <c r="E65" s="316">
        <f>+SUM(E55:E64)</f>
        <v>-81912844</v>
      </c>
      <c r="F65" s="105"/>
      <c r="G65" s="298">
        <f t="shared" si="2"/>
        <v>28501007</v>
      </c>
      <c r="H65" s="309">
        <f t="shared" ref="H65:H71" si="3">+IFERROR(G65/E65,1)</f>
        <v>-0.34794307715649575</v>
      </c>
      <c r="J65" s="359">
        <v>5939600000</v>
      </c>
      <c r="K65" s="360"/>
      <c r="L65" s="269"/>
    </row>
    <row r="66" spans="2:12" s="106" customFormat="1" ht="21" customHeight="1">
      <c r="B66" s="108" t="s">
        <v>312</v>
      </c>
      <c r="C66" s="110"/>
      <c r="D66" s="317">
        <f>+D65+D48+D23</f>
        <v>-1396493</v>
      </c>
      <c r="E66" s="317">
        <f>+E65+E48+E23</f>
        <v>-14169151</v>
      </c>
      <c r="F66" s="105"/>
      <c r="G66" s="275">
        <f t="shared" si="2"/>
        <v>12772658</v>
      </c>
      <c r="H66" s="306">
        <f t="shared" si="3"/>
        <v>-0.9014413072455788</v>
      </c>
      <c r="K66" s="269"/>
      <c r="L66" s="269"/>
    </row>
    <row r="67" spans="2:12" s="106" customFormat="1" ht="21" customHeight="1">
      <c r="B67" s="111" t="s">
        <v>369</v>
      </c>
      <c r="C67" s="109"/>
      <c r="D67" s="318"/>
      <c r="E67" s="313"/>
      <c r="F67" s="105"/>
      <c r="G67" s="275">
        <f t="shared" si="2"/>
        <v>0</v>
      </c>
      <c r="H67" s="306">
        <f t="shared" si="3"/>
        <v>1</v>
      </c>
      <c r="K67" s="269"/>
      <c r="L67" s="269"/>
    </row>
    <row r="68" spans="2:12" s="106" customFormat="1" ht="21" customHeight="1" thickBot="1">
      <c r="B68" s="112" t="s">
        <v>175</v>
      </c>
      <c r="C68" s="109"/>
      <c r="D68" s="313">
        <f>+VLOOKUP(B68,[3]Flujo!$B:$E,3,0)</f>
        <v>0</v>
      </c>
      <c r="E68" s="313">
        <f>+VLOOKUP(B68,[3]Flujo!$B:$E,4,0)</f>
        <v>0</v>
      </c>
      <c r="F68" s="105"/>
      <c r="G68" s="275">
        <f t="shared" si="2"/>
        <v>0</v>
      </c>
      <c r="H68" s="306">
        <f t="shared" si="3"/>
        <v>1</v>
      </c>
      <c r="K68" s="269"/>
      <c r="L68" s="269"/>
    </row>
    <row r="69" spans="2:12" s="106" customFormat="1" ht="21" customHeight="1" thickBot="1">
      <c r="B69" s="108" t="s">
        <v>228</v>
      </c>
      <c r="C69" s="110"/>
      <c r="D69" s="313">
        <f>+VLOOKUP(B69,[3]Flujo!$B:$E,3,0)</f>
        <v>-1396493</v>
      </c>
      <c r="E69" s="313">
        <f>+VLOOKUP(B69,[3]Flujo!$B:$E,4,0)</f>
        <v>-14169151</v>
      </c>
      <c r="F69" s="105"/>
      <c r="G69" s="298">
        <f t="shared" si="2"/>
        <v>12772658</v>
      </c>
      <c r="H69" s="309">
        <f t="shared" si="3"/>
        <v>-0.9014413072455788</v>
      </c>
      <c r="K69" s="269">
        <f>+J64+J65-K64</f>
        <v>6192325000</v>
      </c>
      <c r="L69" s="269"/>
    </row>
    <row r="70" spans="2:12" s="106" customFormat="1" ht="21" customHeight="1" thickBot="1">
      <c r="B70" s="107" t="s">
        <v>229</v>
      </c>
      <c r="C70" s="104"/>
      <c r="D70" s="313">
        <f>+VLOOKUP(B70,[3]Flujo!$B:$E,3,0)</f>
        <v>109156681</v>
      </c>
      <c r="E70" s="313">
        <f>+VLOOKUP(B70,[3]Flujo!$B:$E,4,0)</f>
        <v>179335341</v>
      </c>
      <c r="F70" s="113"/>
      <c r="G70" s="275">
        <f t="shared" si="2"/>
        <v>-70178660</v>
      </c>
      <c r="H70" s="306">
        <f t="shared" si="3"/>
        <v>-0.39132643687894181</v>
      </c>
      <c r="J70" s="106">
        <f>+J65+J64-J61</f>
        <v>-160000</v>
      </c>
      <c r="K70" s="269"/>
      <c r="L70" s="269"/>
    </row>
    <row r="71" spans="2:12" s="106" customFormat="1" ht="21" customHeight="1" thickBot="1">
      <c r="B71" s="114" t="s">
        <v>230</v>
      </c>
      <c r="C71" s="115">
        <v>7</v>
      </c>
      <c r="D71" s="313">
        <f>+VLOOKUP(B71,[3]Flujo!$B:$E,3,0)</f>
        <v>107760188</v>
      </c>
      <c r="E71" s="313">
        <f>+VLOOKUP(B71,[3]Flujo!$B:$E,4,0)</f>
        <v>165166190</v>
      </c>
      <c r="G71" s="298">
        <f t="shared" si="2"/>
        <v>-57406002</v>
      </c>
      <c r="H71" s="309">
        <f t="shared" si="3"/>
        <v>-0.34756509186292911</v>
      </c>
      <c r="K71" s="269"/>
      <c r="L71" s="269"/>
    </row>
    <row r="72" spans="2:12">
      <c r="D72" s="292"/>
      <c r="E72" s="292"/>
    </row>
    <row r="73" spans="2:12">
      <c r="D73" s="319">
        <f>+D71-Balance!D6</f>
        <v>0</v>
      </c>
      <c r="E73" s="319">
        <f>+E71-Balance!E6</f>
        <v>56009509</v>
      </c>
    </row>
  </sheetData>
  <autoFilter ref="B2:E71"/>
  <mergeCells count="3">
    <mergeCell ref="B2:B3"/>
    <mergeCell ref="C2:C3"/>
    <mergeCell ref="G2:H2"/>
  </mergeCells>
  <conditionalFormatting sqref="B1:B1048576">
    <cfRule type="duplicateValues" dxfId="0" priority="1"/>
  </conditionalFormatting>
  <pageMargins left="0.23622047244094491" right="0.27559055118110237" top="0.98425196850393704" bottom="0.98425196850393704" header="0" footer="0"/>
  <pageSetup scale="4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92D050"/>
  </sheetPr>
  <dimension ref="B2:I26"/>
  <sheetViews>
    <sheetView showGridLines="0" workbookViewId="0">
      <selection activeCell="J50" sqref="J50"/>
    </sheetView>
  </sheetViews>
  <sheetFormatPr baseColWidth="10" defaultColWidth="11.44140625" defaultRowHeight="12"/>
  <cols>
    <col min="1" max="1" width="11.44140625" style="130"/>
    <col min="2" max="2" width="45.5546875" style="130" bestFit="1" customWidth="1"/>
    <col min="3" max="3" width="14.44140625" style="351" bestFit="1" customWidth="1"/>
    <col min="4" max="4" width="14.44140625" style="130" bestFit="1" customWidth="1"/>
    <col min="5" max="5" width="13.44140625" style="130" bestFit="1" customWidth="1"/>
    <col min="6" max="6" width="13.77734375" style="130" bestFit="1" customWidth="1"/>
    <col min="7" max="16384" width="11.44140625" style="130"/>
  </cols>
  <sheetData>
    <row r="2" spans="2:9">
      <c r="B2" s="129" t="s">
        <v>103</v>
      </c>
      <c r="C2" s="348" t="s">
        <v>8</v>
      </c>
      <c r="F2" s="349"/>
      <c r="G2" s="350"/>
      <c r="H2" s="350"/>
      <c r="I2" s="349"/>
    </row>
    <row r="3" spans="2:9">
      <c r="B3" s="130" t="s">
        <v>395</v>
      </c>
      <c r="C3" s="351">
        <f>+Cálculos!E69</f>
        <v>133390421</v>
      </c>
      <c r="F3" s="349"/>
      <c r="G3" s="349"/>
      <c r="H3" s="349"/>
      <c r="I3" s="349"/>
    </row>
    <row r="4" spans="2:9">
      <c r="B4" s="130" t="s">
        <v>396</v>
      </c>
      <c r="C4" s="351">
        <f>-Cálculos!D69</f>
        <v>-74422782</v>
      </c>
    </row>
    <row r="5" spans="2:9">
      <c r="B5" s="155" t="s">
        <v>397</v>
      </c>
      <c r="C5" s="352">
        <f>+Cálculos!C69</f>
        <v>76507078</v>
      </c>
      <c r="G5" s="327"/>
      <c r="H5" s="327"/>
      <c r="I5" s="328"/>
    </row>
    <row r="6" spans="2:9">
      <c r="B6" s="129" t="s">
        <v>398</v>
      </c>
      <c r="C6" s="353">
        <f>SUM(C3:C5)</f>
        <v>135474717</v>
      </c>
      <c r="G6" s="327"/>
      <c r="H6" s="327"/>
    </row>
    <row r="8" spans="2:9">
      <c r="B8" s="354" t="s">
        <v>104</v>
      </c>
    </row>
    <row r="9" spans="2:9">
      <c r="B9" s="129" t="s">
        <v>21</v>
      </c>
      <c r="C9" s="348" t="s">
        <v>8</v>
      </c>
    </row>
    <row r="10" spans="2:9">
      <c r="B10" s="130" t="str">
        <f>+B3</f>
        <v>Ejercicio 2023</v>
      </c>
      <c r="C10" s="351">
        <f>+Cálculos!F20-Cálculos!F21</f>
        <v>216150985</v>
      </c>
    </row>
    <row r="11" spans="2:9">
      <c r="B11" s="130" t="str">
        <f>+B4</f>
        <v>Acum jun 2023</v>
      </c>
      <c r="C11" s="351">
        <f>-(Cálculos!E20-Cálculos!E21)</f>
        <v>-116733862</v>
      </c>
    </row>
    <row r="12" spans="2:9">
      <c r="B12" s="155" t="str">
        <f>+B5</f>
        <v>Acum jun 2024</v>
      </c>
      <c r="C12" s="352">
        <f>+Cálculos!D20-Cálculos!D21</f>
        <v>122153884</v>
      </c>
    </row>
    <row r="13" spans="2:9">
      <c r="B13" s="129" t="str">
        <f>+B6</f>
        <v>Periodo jun 2024 - jun 2023</v>
      </c>
      <c r="C13" s="353">
        <f>SUM(C10:C12)</f>
        <v>221571007</v>
      </c>
    </row>
    <row r="16" spans="2:9">
      <c r="B16" s="129" t="s">
        <v>23</v>
      </c>
      <c r="C16" s="348" t="s">
        <v>8</v>
      </c>
    </row>
    <row r="17" spans="2:5">
      <c r="B17" s="130" t="str">
        <f>+B3</f>
        <v>Ejercicio 2023</v>
      </c>
      <c r="C17" s="351">
        <f>-Cálculos!F21</f>
        <v>48849432</v>
      </c>
    </row>
    <row r="18" spans="2:5">
      <c r="B18" s="130" t="str">
        <f>+B4</f>
        <v>Acum jun 2023</v>
      </c>
      <c r="C18" s="351">
        <f>+Cálculos!E21</f>
        <v>-24265318</v>
      </c>
    </row>
    <row r="19" spans="2:5">
      <c r="B19" s="155" t="str">
        <f>+B5</f>
        <v>Acum jun 2024</v>
      </c>
      <c r="C19" s="352">
        <f>-Cálculos!D21</f>
        <v>23932819</v>
      </c>
    </row>
    <row r="20" spans="2:5">
      <c r="B20" s="129" t="str">
        <f>+B13</f>
        <v>Periodo jun 2024 - jun 2023</v>
      </c>
      <c r="C20" s="353">
        <f>SUM(C17:C19)</f>
        <v>48516933</v>
      </c>
    </row>
    <row r="24" spans="2:5">
      <c r="C24" s="355"/>
      <c r="D24" s="356"/>
      <c r="E24" s="357"/>
    </row>
    <row r="25" spans="2:5">
      <c r="C25" s="358"/>
      <c r="D25" s="358"/>
      <c r="E25" s="358"/>
    </row>
    <row r="26" spans="2:5">
      <c r="C26" s="358"/>
      <c r="D26" s="358"/>
      <c r="E26" s="358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rgb="FF92D050"/>
  </sheetPr>
  <dimension ref="B2"/>
  <sheetViews>
    <sheetView showGridLines="0" zoomScale="70" zoomScaleNormal="70" workbookViewId="0">
      <selection activeCell="J50" sqref="J50"/>
    </sheetView>
  </sheetViews>
  <sheetFormatPr baseColWidth="10" defaultRowHeight="13.2"/>
  <sheetData>
    <row r="2" spans="2:2">
      <c r="B2" s="261" t="s">
        <v>285</v>
      </c>
    </row>
  </sheetData>
  <hyperlinks>
    <hyperlink ref="B2" r:id="rId1" location="/cierre_bursatil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92D050"/>
    <pageSetUpPr fitToPage="1"/>
  </sheetPr>
  <dimension ref="A1:M52"/>
  <sheetViews>
    <sheetView showGridLines="0" tabSelected="1" workbookViewId="0"/>
  </sheetViews>
  <sheetFormatPr baseColWidth="10" defaultColWidth="0" defaultRowHeight="15" customHeight="1" zeroHeight="1"/>
  <cols>
    <col min="1" max="1" width="4" style="7" customWidth="1"/>
    <col min="2" max="2" width="44.77734375" style="7" bestFit="1" customWidth="1"/>
    <col min="3" max="4" width="12.5546875" style="7" customWidth="1"/>
    <col min="5" max="5" width="15.5546875" style="7" customWidth="1"/>
    <col min="6" max="6" width="13.44140625" style="7" bestFit="1" customWidth="1"/>
    <col min="7" max="8" width="11.44140625" style="7" customWidth="1"/>
    <col min="9" max="11" width="11.44140625" style="7" hidden="1" customWidth="1"/>
    <col min="12" max="13" width="0" style="7" hidden="1" customWidth="1"/>
    <col min="14" max="16384" width="11.44140625" style="7" hidden="1"/>
  </cols>
  <sheetData>
    <row r="1" spans="1:6" ht="15" customHeight="1">
      <c r="A1" s="13" t="s">
        <v>207</v>
      </c>
    </row>
    <row r="2" spans="1:6" ht="15" customHeight="1"/>
    <row r="3" spans="1:6" ht="15" customHeight="1" thickBot="1">
      <c r="B3" s="2" t="s">
        <v>240</v>
      </c>
      <c r="C3" s="322" t="s">
        <v>400</v>
      </c>
      <c r="D3" s="322" t="s">
        <v>405</v>
      </c>
      <c r="E3" s="262" t="s">
        <v>279</v>
      </c>
      <c r="F3" s="321" t="s">
        <v>375</v>
      </c>
    </row>
    <row r="4" spans="1:6" ht="15" customHeight="1">
      <c r="B4" s="3" t="s">
        <v>264</v>
      </c>
      <c r="C4" s="323">
        <v>339686610</v>
      </c>
      <c r="D4" s="323">
        <v>336809270</v>
      </c>
      <c r="E4" s="9">
        <v>8.9999999999999993E-3</v>
      </c>
      <c r="F4" s="8">
        <v>2877340</v>
      </c>
    </row>
    <row r="5" spans="1:6" s="14" customFormat="1" ht="15" customHeight="1">
      <c r="B5" s="4" t="s">
        <v>265</v>
      </c>
      <c r="C5" s="323">
        <v>-163424142</v>
      </c>
      <c r="D5" s="323">
        <v>-165271704</v>
      </c>
      <c r="E5" s="9">
        <v>-1.0999999999999999E-2</v>
      </c>
      <c r="F5" s="8">
        <v>1847562</v>
      </c>
    </row>
    <row r="6" spans="1:6" s="14" customFormat="1" ht="15" customHeight="1">
      <c r="B6" s="5" t="s">
        <v>191</v>
      </c>
      <c r="C6" s="324">
        <v>176262468</v>
      </c>
      <c r="D6" s="324">
        <v>171537566</v>
      </c>
      <c r="E6" s="11">
        <v>2.8000000000000001E-2</v>
      </c>
      <c r="F6" s="10">
        <v>4724902</v>
      </c>
    </row>
    <row r="7" spans="1:6" s="14" customFormat="1" ht="15" customHeight="1">
      <c r="B7" s="4" t="s">
        <v>62</v>
      </c>
      <c r="C7" s="323">
        <v>-40578598</v>
      </c>
      <c r="D7" s="323">
        <v>-37304527</v>
      </c>
      <c r="E7" s="9">
        <v>8.7999999999999995E-2</v>
      </c>
      <c r="F7" s="8">
        <v>-3274071</v>
      </c>
    </row>
    <row r="8" spans="1:6" s="14" customFormat="1" ht="15" customHeight="1">
      <c r="B8" s="5" t="s">
        <v>266</v>
      </c>
      <c r="C8" s="324">
        <v>135683870</v>
      </c>
      <c r="D8" s="324">
        <v>134233039</v>
      </c>
      <c r="E8" s="11">
        <v>1.0999999999999999E-2</v>
      </c>
      <c r="F8" s="10">
        <v>1450831</v>
      </c>
    </row>
    <row r="9" spans="1:6" s="14" customFormat="1" ht="15" customHeight="1">
      <c r="B9" s="4" t="s">
        <v>267</v>
      </c>
      <c r="C9" s="323">
        <v>2501752</v>
      </c>
      <c r="D9" s="323">
        <v>-1891317</v>
      </c>
      <c r="E9" s="9">
        <v>-2.323</v>
      </c>
      <c r="F9" s="8">
        <v>4393069</v>
      </c>
    </row>
    <row r="10" spans="1:6" s="14" customFormat="1" ht="15" customHeight="1">
      <c r="B10" s="4" t="s">
        <v>318</v>
      </c>
      <c r="C10" s="323">
        <v>0</v>
      </c>
      <c r="D10" s="323">
        <v>0</v>
      </c>
      <c r="E10" s="336">
        <v>0</v>
      </c>
      <c r="F10" s="8">
        <v>0</v>
      </c>
    </row>
    <row r="11" spans="1:6" s="14" customFormat="1" ht="15" customHeight="1">
      <c r="B11" s="4" t="s">
        <v>268</v>
      </c>
      <c r="C11" s="323">
        <v>-39964557</v>
      </c>
      <c r="D11" s="323">
        <v>-39873178</v>
      </c>
      <c r="E11" s="9">
        <v>2E-3</v>
      </c>
      <c r="F11" s="8">
        <v>-91379</v>
      </c>
    </row>
    <row r="12" spans="1:6" s="14" customFormat="1" ht="15" customHeight="1">
      <c r="B12" s="4" t="s">
        <v>231</v>
      </c>
      <c r="C12" s="323">
        <v>-21712759</v>
      </c>
      <c r="D12" s="323">
        <v>-18044579</v>
      </c>
      <c r="E12" s="9">
        <v>0.20300000000000001</v>
      </c>
      <c r="F12" s="8">
        <v>-3668180</v>
      </c>
    </row>
    <row r="13" spans="1:6" s="14" customFormat="1" ht="15" customHeight="1">
      <c r="B13" s="4" t="s">
        <v>373</v>
      </c>
      <c r="C13" s="323">
        <v>-1228</v>
      </c>
      <c r="D13" s="323">
        <v>-1183</v>
      </c>
      <c r="E13" s="9">
        <v>3.7999999999999999E-2</v>
      </c>
      <c r="F13" s="8">
        <v>-45</v>
      </c>
    </row>
    <row r="14" spans="1:6" s="14" customFormat="1" ht="15" customHeight="1">
      <c r="B14" s="5" t="s">
        <v>269</v>
      </c>
      <c r="C14" s="324">
        <v>76507078</v>
      </c>
      <c r="D14" s="324">
        <v>74422782</v>
      </c>
      <c r="E14" s="11">
        <v>2.8000000000000001E-2</v>
      </c>
      <c r="F14" s="10">
        <v>2084296</v>
      </c>
    </row>
    <row r="15" spans="1:6" s="14" customFormat="1" ht="15" customHeight="1">
      <c r="C15" s="406"/>
      <c r="D15" s="406"/>
    </row>
    <row r="16" spans="1:6" ht="15" customHeight="1">
      <c r="A16" s="13" t="s">
        <v>208</v>
      </c>
      <c r="C16" s="339"/>
      <c r="D16" s="339"/>
    </row>
    <row r="17" spans="2:7" s="382" customFormat="1" ht="15" customHeight="1">
      <c r="B17" s="15"/>
      <c r="C17" s="16"/>
      <c r="D17" s="16"/>
      <c r="E17" s="407"/>
      <c r="F17" s="408"/>
      <c r="G17" s="16"/>
    </row>
    <row r="18" spans="2:7" s="382" customFormat="1" ht="15" customHeight="1" thickBot="1">
      <c r="B18" s="7"/>
      <c r="C18" s="452" t="s">
        <v>400</v>
      </c>
      <c r="D18" s="452"/>
      <c r="E18" s="7"/>
      <c r="F18" s="453" t="s">
        <v>405</v>
      </c>
      <c r="G18" s="453"/>
    </row>
    <row r="19" spans="2:7" s="382" customFormat="1" ht="15" customHeight="1">
      <c r="B19" s="7"/>
      <c r="C19" s="409" t="s">
        <v>196</v>
      </c>
      <c r="D19" s="454" t="s">
        <v>197</v>
      </c>
      <c r="E19" s="7"/>
      <c r="F19" s="17" t="s">
        <v>196</v>
      </c>
      <c r="G19" s="456" t="s">
        <v>197</v>
      </c>
    </row>
    <row r="20" spans="2:7" s="382" customFormat="1" ht="15" customHeight="1" thickBot="1">
      <c r="B20" s="7"/>
      <c r="C20" s="322" t="s">
        <v>296</v>
      </c>
      <c r="D20" s="455"/>
      <c r="E20" s="7"/>
      <c r="F20" s="6" t="s">
        <v>8</v>
      </c>
      <c r="G20" s="457"/>
    </row>
    <row r="21" spans="2:7" s="382" customFormat="1" ht="15" customHeight="1">
      <c r="B21" s="4" t="s">
        <v>260</v>
      </c>
      <c r="C21" s="18">
        <v>142418852</v>
      </c>
      <c r="D21" s="410">
        <v>0.42</v>
      </c>
      <c r="E21" s="7"/>
      <c r="F21" s="18">
        <v>139716979</v>
      </c>
      <c r="G21" s="410">
        <v>0.41499999999999998</v>
      </c>
    </row>
    <row r="22" spans="2:7" s="382" customFormat="1" ht="15" customHeight="1">
      <c r="B22" s="4" t="s">
        <v>261</v>
      </c>
      <c r="C22" s="18">
        <v>150558399</v>
      </c>
      <c r="D22" s="410">
        <v>0.443</v>
      </c>
      <c r="E22" s="7"/>
      <c r="F22" s="18">
        <v>148527990</v>
      </c>
      <c r="G22" s="410">
        <v>0.441</v>
      </c>
    </row>
    <row r="23" spans="2:7" s="382" customFormat="1" ht="15" customHeight="1">
      <c r="B23" s="4" t="s">
        <v>262</v>
      </c>
      <c r="C23" s="18">
        <v>13322077</v>
      </c>
      <c r="D23" s="9">
        <v>3.9E-2</v>
      </c>
      <c r="E23" s="7"/>
      <c r="F23" s="18">
        <v>12375550</v>
      </c>
      <c r="G23" s="410">
        <v>3.6999999999999998E-2</v>
      </c>
    </row>
    <row r="24" spans="2:7" s="382" customFormat="1" ht="15" customHeight="1" thickBot="1">
      <c r="B24" s="15" t="s">
        <v>263</v>
      </c>
      <c r="C24" s="411">
        <v>33387282</v>
      </c>
      <c r="D24" s="412">
        <v>9.8000000000000004E-2</v>
      </c>
      <c r="E24" s="7"/>
      <c r="F24" s="411">
        <v>36188751</v>
      </c>
      <c r="G24" s="412">
        <v>0.107</v>
      </c>
    </row>
    <row r="25" spans="2:7" s="382" customFormat="1" ht="15" customHeight="1" thickTop="1">
      <c r="B25" s="5" t="s">
        <v>198</v>
      </c>
      <c r="C25" s="25">
        <v>339686610</v>
      </c>
      <c r="D25" s="413">
        <v>1</v>
      </c>
      <c r="E25" s="7"/>
      <c r="F25" s="25">
        <v>336809270</v>
      </c>
      <c r="G25" s="413">
        <v>1</v>
      </c>
    </row>
    <row r="26" spans="2:7" s="382" customFormat="1" ht="15" customHeight="1">
      <c r="B26" s="14"/>
      <c r="C26" s="414"/>
      <c r="D26" s="414"/>
      <c r="E26" s="415"/>
      <c r="F26" s="414"/>
      <c r="G26" s="14"/>
    </row>
    <row r="27" spans="2:7" s="382" customFormat="1" ht="15" customHeight="1" thickBot="1">
      <c r="B27" s="417" t="s">
        <v>273</v>
      </c>
      <c r="C27" s="379" t="s">
        <v>400</v>
      </c>
      <c r="D27" s="379" t="s">
        <v>405</v>
      </c>
      <c r="E27" s="379" t="s">
        <v>181</v>
      </c>
      <c r="F27" s="380"/>
      <c r="G27" s="379" t="s">
        <v>199</v>
      </c>
    </row>
    <row r="28" spans="2:7" s="382" customFormat="1" ht="15" customHeight="1">
      <c r="B28" s="418" t="s">
        <v>270</v>
      </c>
      <c r="C28" s="381">
        <v>273979</v>
      </c>
      <c r="D28" s="381">
        <v>273075</v>
      </c>
      <c r="E28" s="419">
        <v>3.0000000000000001E-3</v>
      </c>
      <c r="F28" s="380"/>
      <c r="G28" s="420">
        <v>904</v>
      </c>
    </row>
    <row r="29" spans="2:7" s="382" customFormat="1" ht="15" customHeight="1">
      <c r="B29" s="418" t="s">
        <v>271</v>
      </c>
      <c r="C29" s="381">
        <v>260973</v>
      </c>
      <c r="D29" s="381">
        <v>260530</v>
      </c>
      <c r="E29" s="419">
        <v>2E-3</v>
      </c>
      <c r="F29" s="380"/>
      <c r="G29" s="420">
        <v>443</v>
      </c>
    </row>
    <row r="30" spans="2:7" s="382" customFormat="1" ht="15" customHeight="1">
      <c r="B30" s="418" t="s">
        <v>272</v>
      </c>
      <c r="C30" s="381">
        <v>222296</v>
      </c>
      <c r="D30" s="381">
        <v>221708</v>
      </c>
      <c r="E30" s="419">
        <v>3.0000000000000001E-3</v>
      </c>
      <c r="F30" s="380"/>
      <c r="G30" s="420">
        <v>588</v>
      </c>
    </row>
    <row r="31" spans="2:7" s="380" customFormat="1" ht="15" customHeight="1">
      <c r="B31" s="418" t="s">
        <v>232</v>
      </c>
      <c r="C31" s="381">
        <v>65548</v>
      </c>
      <c r="D31" s="381">
        <v>66220</v>
      </c>
      <c r="E31" s="419">
        <v>-0.01</v>
      </c>
      <c r="F31" s="421"/>
      <c r="G31" s="420">
        <v>-672</v>
      </c>
    </row>
    <row r="32" spans="2:7" s="380" customFormat="1" ht="15" customHeight="1">
      <c r="C32" s="422"/>
      <c r="D32" s="422"/>
    </row>
    <row r="33" spans="2:7" s="380" customFormat="1" ht="15" customHeight="1" thickBot="1">
      <c r="B33" s="378" t="s">
        <v>200</v>
      </c>
      <c r="C33" s="379" t="s">
        <v>400</v>
      </c>
      <c r="D33" s="379" t="s">
        <v>405</v>
      </c>
      <c r="E33" s="379" t="s">
        <v>181</v>
      </c>
      <c r="G33" s="379" t="s">
        <v>199</v>
      </c>
    </row>
    <row r="34" spans="2:7" s="380" customFormat="1" ht="15" customHeight="1">
      <c r="B34" s="418" t="s">
        <v>270</v>
      </c>
      <c r="C34" s="381">
        <v>2325762</v>
      </c>
      <c r="D34" s="381">
        <v>2283675</v>
      </c>
      <c r="E34" s="419">
        <v>1.7999999999999999E-2</v>
      </c>
      <c r="G34" s="420">
        <v>42087</v>
      </c>
    </row>
    <row r="35" spans="2:7" s="380" customFormat="1" ht="15" customHeight="1">
      <c r="B35" s="418" t="s">
        <v>271</v>
      </c>
      <c r="C35" s="381">
        <v>2280975</v>
      </c>
      <c r="D35" s="381">
        <v>2238870</v>
      </c>
      <c r="E35" s="419">
        <v>1.9E-2</v>
      </c>
      <c r="G35" s="420">
        <v>42105</v>
      </c>
    </row>
    <row r="36" spans="2:7" s="380" customFormat="1" ht="15" customHeight="1"/>
    <row r="37" spans="2:7" s="380" customFormat="1" ht="15" customHeight="1">
      <c r="B37" s="423" t="s">
        <v>209</v>
      </c>
    </row>
    <row r="38" spans="2:7" s="380" customFormat="1" ht="15" customHeight="1">
      <c r="B38" s="423"/>
    </row>
    <row r="39" spans="2:7" s="380" customFormat="1" ht="14.4" thickBot="1">
      <c r="B39" s="378" t="s">
        <v>241</v>
      </c>
      <c r="C39" s="379" t="s">
        <v>400</v>
      </c>
      <c r="D39" s="379" t="s">
        <v>405</v>
      </c>
      <c r="E39" s="379" t="s">
        <v>181</v>
      </c>
    </row>
    <row r="40" spans="2:7" s="380" customFormat="1" ht="13.8">
      <c r="B40" s="424" t="s">
        <v>176</v>
      </c>
      <c r="C40" s="18">
        <v>11284766</v>
      </c>
      <c r="D40" s="18">
        <v>11030639</v>
      </c>
      <c r="E40" s="419">
        <v>2.2999999999999909E-2</v>
      </c>
    </row>
    <row r="41" spans="2:7" s="380" customFormat="1" ht="13.8">
      <c r="B41" s="424" t="s">
        <v>330</v>
      </c>
      <c r="C41" s="18">
        <v>4944203</v>
      </c>
      <c r="D41" s="18">
        <v>4323253</v>
      </c>
      <c r="E41" s="419">
        <v>0.14399999999999991</v>
      </c>
    </row>
    <row r="42" spans="2:7" s="380" customFormat="1" ht="13.8">
      <c r="B42" s="424" t="s">
        <v>289</v>
      </c>
      <c r="C42" s="18">
        <v>1622869</v>
      </c>
      <c r="D42" s="18">
        <v>2198270</v>
      </c>
      <c r="E42" s="419">
        <v>-0.26200000000000001</v>
      </c>
    </row>
    <row r="43" spans="2:7" s="380" customFormat="1" ht="13.8">
      <c r="B43" s="424" t="s">
        <v>408</v>
      </c>
      <c r="C43" s="18">
        <v>1842604</v>
      </c>
      <c r="D43" s="18">
        <v>1262922</v>
      </c>
      <c r="E43" s="419">
        <v>0.45900000000000007</v>
      </c>
    </row>
    <row r="44" spans="2:7" s="380" customFormat="1" ht="13.8">
      <c r="B44" s="425" t="s">
        <v>89</v>
      </c>
      <c r="C44" s="426">
        <v>19694442</v>
      </c>
      <c r="D44" s="426">
        <v>18815084</v>
      </c>
      <c r="E44" s="447">
        <v>4.6999999999999931E-2</v>
      </c>
    </row>
    <row r="45" spans="2:7" s="380" customFormat="1" ht="15" customHeight="1">
      <c r="C45" s="427"/>
      <c r="D45" s="427"/>
    </row>
    <row r="46" spans="2:7" s="380" customFormat="1" ht="15" customHeight="1">
      <c r="C46" s="428"/>
      <c r="D46" s="428"/>
      <c r="G46" s="428"/>
    </row>
    <row r="47" spans="2:7" s="380" customFormat="1" ht="15" hidden="1" customHeight="1"/>
    <row r="48" spans="2:7" ht="15" hidden="1" customHeight="1"/>
    <row r="49" spans="2:3" ht="15" hidden="1" customHeight="1"/>
    <row r="50" spans="2:3" ht="15" hidden="1" customHeight="1">
      <c r="B50" s="4"/>
      <c r="C50" s="22"/>
    </row>
    <row r="51" spans="2:3" ht="15" hidden="1" customHeight="1">
      <c r="B51" s="4"/>
      <c r="C51" s="22"/>
    </row>
    <row r="52" spans="2:3" ht="15" hidden="1" customHeight="1">
      <c r="B52" s="4"/>
      <c r="C52" s="22"/>
    </row>
  </sheetData>
  <mergeCells count="4">
    <mergeCell ref="C18:D18"/>
    <mergeCell ref="F18:G18"/>
    <mergeCell ref="D19:D20"/>
    <mergeCell ref="G19:G20"/>
  </mergeCells>
  <pageMargins left="0.74803149606299213" right="0.74803149606299213" top="0.98425196850393704" bottom="0.98425196850393704" header="0" footer="0"/>
  <pageSetup scale="49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92D050"/>
  </sheetPr>
  <dimension ref="A1:M31"/>
  <sheetViews>
    <sheetView showGridLines="0" workbookViewId="0"/>
  </sheetViews>
  <sheetFormatPr baseColWidth="10" defaultColWidth="0" defaultRowHeight="13.8" zeroHeight="1"/>
  <cols>
    <col min="1" max="1" width="11.44140625" style="7" customWidth="1"/>
    <col min="2" max="2" width="25.44140625" style="7" bestFit="1" customWidth="1"/>
    <col min="3" max="4" width="12" style="7" bestFit="1" customWidth="1"/>
    <col min="5" max="8" width="11.44140625" style="7" customWidth="1"/>
    <col min="9" max="11" width="11.44140625" style="7" hidden="1" customWidth="1"/>
    <col min="12" max="13" width="0" style="7" hidden="1" customWidth="1"/>
    <col min="14" max="16384" width="11.44140625" style="7" hidden="1"/>
  </cols>
  <sheetData>
    <row r="1" spans="2:7">
      <c r="B1" s="12" t="s">
        <v>256</v>
      </c>
    </row>
    <row r="2" spans="2:7"/>
    <row r="3" spans="2:7" ht="14.4" thickBot="1">
      <c r="B3" s="43" t="s">
        <v>240</v>
      </c>
      <c r="C3" s="6" t="s">
        <v>400</v>
      </c>
      <c r="D3" s="6" t="s">
        <v>405</v>
      </c>
      <c r="E3" s="6" t="s">
        <v>181</v>
      </c>
      <c r="G3" s="6" t="s">
        <v>375</v>
      </c>
    </row>
    <row r="4" spans="2:7">
      <c r="B4" s="23" t="s">
        <v>274</v>
      </c>
      <c r="C4" s="8">
        <v>319727957</v>
      </c>
      <c r="D4" s="8">
        <v>317876527</v>
      </c>
      <c r="E4" s="9">
        <v>6.0000000000000001E-3</v>
      </c>
      <c r="G4" s="8">
        <v>1851430</v>
      </c>
    </row>
    <row r="5" spans="2:7">
      <c r="B5" s="23" t="s">
        <v>275</v>
      </c>
      <c r="C5" s="8">
        <v>750761</v>
      </c>
      <c r="D5" s="8">
        <v>815808</v>
      </c>
      <c r="E5" s="9">
        <v>-0.08</v>
      </c>
      <c r="F5" s="20"/>
      <c r="G5" s="8">
        <v>-65047</v>
      </c>
    </row>
    <row r="6" spans="2:7">
      <c r="B6" s="23" t="s">
        <v>265</v>
      </c>
      <c r="C6" s="8">
        <v>-149370942</v>
      </c>
      <c r="D6" s="8">
        <v>-151297637</v>
      </c>
      <c r="E6" s="9">
        <v>-1.2999999999999999E-2</v>
      </c>
      <c r="G6" s="8">
        <v>1926695</v>
      </c>
    </row>
    <row r="7" spans="2:7" s="12" customFormat="1">
      <c r="B7" s="44" t="s">
        <v>191</v>
      </c>
      <c r="C7" s="324">
        <v>171107776</v>
      </c>
      <c r="D7" s="324">
        <v>167394698</v>
      </c>
      <c r="E7" s="11">
        <v>2.1999999999999999E-2</v>
      </c>
      <c r="G7" s="10">
        <v>3713078</v>
      </c>
    </row>
    <row r="8" spans="2:7">
      <c r="B8" s="23" t="s">
        <v>62</v>
      </c>
      <c r="C8" s="8">
        <v>-39387018</v>
      </c>
      <c r="D8" s="8">
        <v>-36161136</v>
      </c>
      <c r="E8" s="9">
        <v>8.8999999999999996E-2</v>
      </c>
      <c r="G8" s="8">
        <v>-3225882</v>
      </c>
    </row>
    <row r="9" spans="2:7" s="12" customFormat="1">
      <c r="B9" s="44" t="s">
        <v>266</v>
      </c>
      <c r="C9" s="324">
        <v>131720758</v>
      </c>
      <c r="D9" s="324">
        <v>131233562</v>
      </c>
      <c r="E9" s="11">
        <v>4.0000000000000001E-3</v>
      </c>
      <c r="G9" s="10">
        <v>487196</v>
      </c>
    </row>
    <row r="10" spans="2:7">
      <c r="B10" s="23" t="s">
        <v>276</v>
      </c>
      <c r="C10" s="8">
        <v>1828629</v>
      </c>
      <c r="D10" s="8">
        <v>-1665207</v>
      </c>
      <c r="E10" s="9" t="s">
        <v>313</v>
      </c>
      <c r="F10" s="20"/>
      <c r="G10" s="8">
        <v>3493836</v>
      </c>
    </row>
    <row r="11" spans="2:7">
      <c r="B11" s="23" t="s">
        <v>268</v>
      </c>
      <c r="C11" s="8">
        <v>-39910810</v>
      </c>
      <c r="D11" s="8">
        <v>-39533729</v>
      </c>
      <c r="E11" s="9">
        <v>0.01</v>
      </c>
      <c r="G11" s="8">
        <v>-377081</v>
      </c>
    </row>
    <row r="12" spans="2:7">
      <c r="B12" s="23" t="s">
        <v>231</v>
      </c>
      <c r="C12" s="8">
        <v>-20704308</v>
      </c>
      <c r="D12" s="8">
        <v>-17513050</v>
      </c>
      <c r="E12" s="9">
        <v>0.182</v>
      </c>
      <c r="G12" s="8">
        <v>-3191258</v>
      </c>
    </row>
    <row r="13" spans="2:7">
      <c r="B13" s="23" t="s">
        <v>371</v>
      </c>
      <c r="C13" s="8">
        <v>-1228</v>
      </c>
      <c r="D13" s="8">
        <v>-1183</v>
      </c>
      <c r="E13" s="9">
        <v>3.7999999999999999E-2</v>
      </c>
      <c r="G13" s="8">
        <v>-45</v>
      </c>
    </row>
    <row r="14" spans="2:7" s="12" customFormat="1">
      <c r="B14" s="44" t="s">
        <v>269</v>
      </c>
      <c r="C14" s="324">
        <v>72933041</v>
      </c>
      <c r="D14" s="324">
        <v>72520393</v>
      </c>
      <c r="E14" s="11">
        <v>6.0000000000000001E-3</v>
      </c>
      <c r="G14" s="10">
        <v>412648</v>
      </c>
    </row>
    <row r="15" spans="2:7">
      <c r="C15" s="273">
        <v>0</v>
      </c>
      <c r="D15" s="273">
        <v>0</v>
      </c>
    </row>
    <row r="16" spans="2:7">
      <c r="C16" s="24"/>
      <c r="D16" s="24"/>
    </row>
    <row r="17" spans="2:7">
      <c r="B17" s="12" t="s">
        <v>257</v>
      </c>
    </row>
    <row r="18" spans="2:7"/>
    <row r="19" spans="2:7" ht="14.4" thickBot="1">
      <c r="B19" s="43" t="s">
        <v>240</v>
      </c>
      <c r="C19" s="6" t="s">
        <v>400</v>
      </c>
      <c r="D19" s="6" t="s">
        <v>405</v>
      </c>
      <c r="E19" s="6" t="s">
        <v>181</v>
      </c>
      <c r="G19" s="6" t="s">
        <v>375</v>
      </c>
    </row>
    <row r="20" spans="2:7">
      <c r="B20" s="23" t="s">
        <v>274</v>
      </c>
      <c r="C20" s="8">
        <v>19958653</v>
      </c>
      <c r="D20" s="8">
        <v>18932743</v>
      </c>
      <c r="E20" s="9">
        <v>5.3999999999999999E-2</v>
      </c>
      <c r="G20" s="8">
        <v>1025910</v>
      </c>
    </row>
    <row r="21" spans="2:7">
      <c r="B21" s="23" t="s">
        <v>275</v>
      </c>
      <c r="C21" s="8">
        <v>6672032</v>
      </c>
      <c r="D21" s="8">
        <v>4909373</v>
      </c>
      <c r="E21" s="9">
        <v>0.35899999999999999</v>
      </c>
      <c r="G21" s="8">
        <v>1762659</v>
      </c>
    </row>
    <row r="22" spans="2:7">
      <c r="B22" s="23" t="s">
        <v>265</v>
      </c>
      <c r="C22" s="8">
        <v>-21475993</v>
      </c>
      <c r="D22" s="8">
        <v>-19700110</v>
      </c>
      <c r="E22" s="9">
        <v>0.09</v>
      </c>
      <c r="G22" s="8">
        <v>-1775883</v>
      </c>
    </row>
    <row r="23" spans="2:7">
      <c r="B23" s="44" t="s">
        <v>191</v>
      </c>
      <c r="C23" s="324">
        <v>5154692</v>
      </c>
      <c r="D23" s="324">
        <v>4142006</v>
      </c>
      <c r="E23" s="11">
        <v>0.24399999999999999</v>
      </c>
      <c r="F23" s="12"/>
      <c r="G23" s="10">
        <v>1012686</v>
      </c>
    </row>
    <row r="24" spans="2:7">
      <c r="B24" s="23" t="s">
        <v>62</v>
      </c>
      <c r="C24" s="8">
        <v>-1191581</v>
      </c>
      <c r="D24" s="8">
        <v>-1142530</v>
      </c>
      <c r="E24" s="9">
        <v>4.2999999999999997E-2</v>
      </c>
      <c r="G24" s="8">
        <v>-49051</v>
      </c>
    </row>
    <row r="25" spans="2:7">
      <c r="B25" s="44" t="s">
        <v>266</v>
      </c>
      <c r="C25" s="324">
        <v>3963111</v>
      </c>
      <c r="D25" s="324">
        <v>2999476</v>
      </c>
      <c r="E25" s="11">
        <v>0.32100000000000001</v>
      </c>
      <c r="F25" s="12"/>
      <c r="G25" s="10">
        <v>963635</v>
      </c>
    </row>
    <row r="26" spans="2:7">
      <c r="B26" s="23" t="s">
        <v>276</v>
      </c>
      <c r="C26" s="8">
        <v>673124</v>
      </c>
      <c r="D26" s="8">
        <v>-226109</v>
      </c>
      <c r="E26" s="9">
        <v>-3.9769999999999999</v>
      </c>
      <c r="G26" s="8">
        <v>899233</v>
      </c>
    </row>
    <row r="27" spans="2:7">
      <c r="B27" s="23" t="s">
        <v>268</v>
      </c>
      <c r="C27" s="8">
        <v>-53747</v>
      </c>
      <c r="D27" s="8">
        <v>-339449</v>
      </c>
      <c r="E27" s="9">
        <v>-0.84199999999999997</v>
      </c>
      <c r="G27" s="8">
        <v>285702</v>
      </c>
    </row>
    <row r="28" spans="2:7">
      <c r="B28" s="23" t="s">
        <v>231</v>
      </c>
      <c r="C28" s="8">
        <v>-1008451</v>
      </c>
      <c r="D28" s="8">
        <v>-531529</v>
      </c>
      <c r="E28" s="9">
        <v>0.89700000000000002</v>
      </c>
      <c r="G28" s="8">
        <v>-476922</v>
      </c>
    </row>
    <row r="29" spans="2:7">
      <c r="B29" s="44" t="s">
        <v>269</v>
      </c>
      <c r="C29" s="324">
        <v>3574037</v>
      </c>
      <c r="D29" s="324">
        <v>1902389</v>
      </c>
      <c r="E29" s="11">
        <v>0.879</v>
      </c>
      <c r="F29" s="12"/>
      <c r="G29" s="10">
        <v>1671648</v>
      </c>
    </row>
    <row r="30" spans="2:7">
      <c r="C30" s="273">
        <v>0</v>
      </c>
      <c r="D30" s="273">
        <v>0</v>
      </c>
    </row>
    <row r="31" spans="2:7">
      <c r="C31" s="339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92D050"/>
  </sheetPr>
  <dimension ref="A1:N39"/>
  <sheetViews>
    <sheetView showGridLines="0" workbookViewId="0"/>
  </sheetViews>
  <sheetFormatPr baseColWidth="10" defaultColWidth="0" defaultRowHeight="13.8" zeroHeight="1"/>
  <cols>
    <col min="1" max="1" width="4" style="27" customWidth="1"/>
    <col min="2" max="2" width="25.44140625" style="27" bestFit="1" customWidth="1"/>
    <col min="3" max="8" width="11.44140625" style="27" customWidth="1"/>
    <col min="9" max="14" width="0" style="27" hidden="1" customWidth="1"/>
    <col min="15" max="16384" width="11.44140625" style="27" hidden="1"/>
  </cols>
  <sheetData>
    <row r="1" spans="1:7" ht="15" customHeight="1">
      <c r="A1" s="26" t="s">
        <v>207</v>
      </c>
    </row>
    <row r="2" spans="1:7"/>
    <row r="3" spans="1:7" ht="14.4" thickBot="1">
      <c r="B3" s="2" t="s">
        <v>240</v>
      </c>
      <c r="C3" s="362" t="s">
        <v>403</v>
      </c>
      <c r="D3" s="362" t="s">
        <v>402</v>
      </c>
      <c r="E3" s="362" t="s">
        <v>181</v>
      </c>
      <c r="F3" s="7"/>
      <c r="G3" s="362" t="s">
        <v>404</v>
      </c>
    </row>
    <row r="4" spans="1:7" ht="15" customHeight="1">
      <c r="B4" s="4" t="s">
        <v>177</v>
      </c>
      <c r="C4" s="323">
        <v>150546418</v>
      </c>
      <c r="D4" s="323">
        <v>155339926</v>
      </c>
      <c r="E4" s="9">
        <v>-3.1E-2</v>
      </c>
      <c r="F4" s="7"/>
      <c r="G4" s="8">
        <v>-4793508</v>
      </c>
    </row>
    <row r="5" spans="1:7" s="28" customFormat="1" ht="15" customHeight="1">
      <c r="B5" s="4" t="s">
        <v>190</v>
      </c>
      <c r="C5" s="323">
        <v>-81437285</v>
      </c>
      <c r="D5" s="323">
        <v>-86005873</v>
      </c>
      <c r="E5" s="9">
        <v>-5.2999999999999999E-2</v>
      </c>
      <c r="F5" s="7"/>
      <c r="G5" s="8">
        <v>4568588</v>
      </c>
    </row>
    <row r="6" spans="1:7" s="28" customFormat="1" ht="15" customHeight="1">
      <c r="B6" s="5" t="s">
        <v>191</v>
      </c>
      <c r="C6" s="344">
        <v>69109133</v>
      </c>
      <c r="D6" s="344">
        <v>69334053</v>
      </c>
      <c r="E6" s="11">
        <v>-3.0000000000000001E-3</v>
      </c>
      <c r="F6" s="12"/>
      <c r="G6" s="10">
        <v>-224920</v>
      </c>
    </row>
    <row r="7" spans="1:7" s="28" customFormat="1" ht="15" customHeight="1">
      <c r="B7" s="4" t="s">
        <v>192</v>
      </c>
      <c r="C7" s="323">
        <v>-20606051</v>
      </c>
      <c r="D7" s="323">
        <v>-18479475</v>
      </c>
      <c r="E7" s="9">
        <v>0.115</v>
      </c>
      <c r="F7" s="7"/>
      <c r="G7" s="8">
        <v>-2126576</v>
      </c>
    </row>
    <row r="8" spans="1:7" s="28" customFormat="1" ht="15" customHeight="1">
      <c r="B8" s="5" t="s">
        <v>193</v>
      </c>
      <c r="C8" s="344">
        <v>48503082</v>
      </c>
      <c r="D8" s="344">
        <v>50854578</v>
      </c>
      <c r="E8" s="11">
        <v>-4.5999999999999999E-2</v>
      </c>
      <c r="F8" s="12"/>
      <c r="G8" s="10">
        <v>-2351496</v>
      </c>
    </row>
    <row r="9" spans="1:7" s="28" customFormat="1" ht="15" customHeight="1">
      <c r="B9" s="4" t="s">
        <v>286</v>
      </c>
      <c r="C9" s="323">
        <v>-648828</v>
      </c>
      <c r="D9" s="323">
        <v>-1279921</v>
      </c>
      <c r="E9" s="9">
        <v>-0.49299999999999999</v>
      </c>
      <c r="F9" s="45"/>
      <c r="G9" s="8">
        <v>631093</v>
      </c>
    </row>
    <row r="10" spans="1:7" s="28" customFormat="1" ht="15" customHeight="1">
      <c r="B10" s="4" t="s">
        <v>317</v>
      </c>
      <c r="C10" s="323">
        <v>0</v>
      </c>
      <c r="D10" s="323">
        <v>0</v>
      </c>
      <c r="E10" s="9">
        <v>0</v>
      </c>
      <c r="F10" s="45"/>
      <c r="G10" s="8">
        <v>0</v>
      </c>
    </row>
    <row r="11" spans="1:7" s="28" customFormat="1" ht="15" customHeight="1">
      <c r="B11" s="4" t="s">
        <v>194</v>
      </c>
      <c r="C11" s="323">
        <v>-22067764</v>
      </c>
      <c r="D11" s="323">
        <v>-20145320</v>
      </c>
      <c r="E11" s="9">
        <v>9.5000000000000001E-2</v>
      </c>
      <c r="F11" s="7"/>
      <c r="G11" s="8">
        <v>-1922444</v>
      </c>
    </row>
    <row r="12" spans="1:7" s="28" customFormat="1" ht="15" customHeight="1">
      <c r="B12" s="4" t="s">
        <v>231</v>
      </c>
      <c r="C12" s="323">
        <v>-4188179</v>
      </c>
      <c r="D12" s="323">
        <v>-3918309</v>
      </c>
      <c r="E12" s="9">
        <v>6.9000000000000006E-2</v>
      </c>
      <c r="F12" s="7"/>
      <c r="G12" s="8">
        <v>-269870</v>
      </c>
    </row>
    <row r="13" spans="1:7" s="28" customFormat="1" ht="15" customHeight="1">
      <c r="B13" s="4" t="s">
        <v>401</v>
      </c>
      <c r="C13" s="323">
        <v>-301</v>
      </c>
      <c r="D13" s="323">
        <v>-364</v>
      </c>
      <c r="E13" s="9">
        <v>-0.17299999999999999</v>
      </c>
      <c r="F13" s="7"/>
      <c r="G13" s="8">
        <v>63</v>
      </c>
    </row>
    <row r="14" spans="1:7" s="28" customFormat="1" ht="15" customHeight="1">
      <c r="B14" s="5" t="s">
        <v>195</v>
      </c>
      <c r="C14" s="324">
        <v>21598010</v>
      </c>
      <c r="D14" s="324">
        <v>25510664</v>
      </c>
      <c r="E14" s="11">
        <v>-0.153</v>
      </c>
      <c r="F14" s="12"/>
      <c r="G14" s="10">
        <v>-3912654</v>
      </c>
    </row>
    <row r="15" spans="1:7" s="28" customFormat="1" ht="15" customHeight="1">
      <c r="C15" s="324"/>
      <c r="D15" s="324"/>
    </row>
    <row r="16" spans="1:7" s="28" customFormat="1" ht="15" hidden="1" customHeight="1"/>
    <row r="17" s="28" customFormat="1" ht="15" hidden="1" customHeight="1"/>
    <row r="18" s="28" customFormat="1" ht="15" hidden="1" customHeight="1"/>
    <row r="19" s="28" customFormat="1" ht="15" hidden="1" customHeight="1"/>
    <row r="20" s="28" customFormat="1" ht="15" hidden="1" customHeight="1"/>
    <row r="21" s="28" customFormat="1" ht="15" hidden="1" customHeight="1"/>
    <row r="22" s="28" customFormat="1" ht="15" hidden="1" customHeight="1"/>
    <row r="23" s="28" customFormat="1" ht="15" hidden="1" customHeight="1"/>
    <row r="24" s="28" customFormat="1" ht="15" hidden="1" customHeight="1"/>
    <row r="25" s="28" customFormat="1" ht="15" hidden="1" customHeight="1"/>
    <row r="26" s="28" customFormat="1" ht="15" hidden="1" customHeight="1"/>
    <row r="27" s="28" customFormat="1" ht="15" hidden="1" customHeight="1"/>
    <row r="28" s="28" customFormat="1" ht="15" hidden="1" customHeight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t="15" hidden="1" customHeight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92D050"/>
    <pageSetUpPr fitToPage="1"/>
  </sheetPr>
  <dimension ref="A1:L34"/>
  <sheetViews>
    <sheetView showGridLines="0" workbookViewId="0"/>
  </sheetViews>
  <sheetFormatPr baseColWidth="10" defaultColWidth="0" defaultRowHeight="15" customHeight="1" zeroHeight="1"/>
  <cols>
    <col min="1" max="1" width="3.77734375" style="7" customWidth="1"/>
    <col min="2" max="2" width="49.44140625" style="7" customWidth="1"/>
    <col min="3" max="4" width="15.5546875" style="7" customWidth="1"/>
    <col min="5" max="5" width="10.5546875" style="7" customWidth="1"/>
    <col min="6" max="6" width="11.33203125" style="7" customWidth="1"/>
    <col min="7" max="12" width="0" style="7" hidden="1" customWidth="1"/>
    <col min="13" max="16384" width="11.44140625" style="7" hidden="1"/>
  </cols>
  <sheetData>
    <row r="1" spans="2:5" ht="15" customHeight="1"/>
    <row r="2" spans="2:5" ht="15" customHeight="1">
      <c r="B2" s="14"/>
      <c r="C2" s="14"/>
      <c r="D2" s="14"/>
      <c r="E2" s="14"/>
    </row>
    <row r="3" spans="2:5" ht="15" customHeight="1" thickBot="1">
      <c r="B3" s="17" t="s">
        <v>182</v>
      </c>
      <c r="C3" s="6" t="s">
        <v>400</v>
      </c>
      <c r="D3" s="6" t="s">
        <v>374</v>
      </c>
      <c r="E3" s="17" t="s">
        <v>181</v>
      </c>
    </row>
    <row r="4" spans="2:5" ht="12.75" customHeight="1">
      <c r="B4" s="4" t="s">
        <v>2</v>
      </c>
      <c r="C4" s="337">
        <v>251313223</v>
      </c>
      <c r="D4" s="337">
        <v>275004410</v>
      </c>
      <c r="E4" s="375">
        <v>-8.5999999999999993E-2</v>
      </c>
    </row>
    <row r="5" spans="2:5" ht="12.75" customHeight="1">
      <c r="B5" s="4" t="s">
        <v>3</v>
      </c>
      <c r="C5" s="337">
        <v>2181819932</v>
      </c>
      <c r="D5" s="337">
        <v>2148343319</v>
      </c>
      <c r="E5" s="375">
        <v>1.6E-2</v>
      </c>
    </row>
    <row r="6" spans="2:5" ht="12.75" customHeight="1">
      <c r="B6" s="5" t="s">
        <v>72</v>
      </c>
      <c r="C6" s="338">
        <v>2433133155</v>
      </c>
      <c r="D6" s="338">
        <v>2423347729</v>
      </c>
      <c r="E6" s="376">
        <v>4.0000000000000001E-3</v>
      </c>
    </row>
    <row r="7" spans="2:5" ht="12.75" customHeight="1">
      <c r="B7" s="17" t="s">
        <v>212</v>
      </c>
      <c r="C7" s="373"/>
      <c r="D7" s="373"/>
      <c r="E7" s="374"/>
    </row>
    <row r="8" spans="2:5" ht="12.75" customHeight="1">
      <c r="B8" s="4" t="s">
        <v>0</v>
      </c>
      <c r="C8" s="337">
        <v>252840419</v>
      </c>
      <c r="D8" s="337">
        <v>361668126</v>
      </c>
      <c r="E8" s="375">
        <v>-0.30099999999999999</v>
      </c>
    </row>
    <row r="9" spans="2:5" ht="12.75" customHeight="1">
      <c r="B9" s="4" t="s">
        <v>1</v>
      </c>
      <c r="C9" s="337">
        <v>1305828661</v>
      </c>
      <c r="D9" s="337">
        <v>1175540305</v>
      </c>
      <c r="E9" s="375">
        <v>0.111</v>
      </c>
    </row>
    <row r="10" spans="2:5" ht="12.75" customHeight="1">
      <c r="B10" s="5" t="s">
        <v>73</v>
      </c>
      <c r="C10" s="338">
        <v>1558669080</v>
      </c>
      <c r="D10" s="338">
        <v>1537208431</v>
      </c>
      <c r="E10" s="376">
        <v>1.4E-2</v>
      </c>
    </row>
    <row r="11" spans="2:5" ht="12.75" customHeight="1">
      <c r="B11" s="14"/>
      <c r="C11" s="373"/>
      <c r="D11" s="373"/>
      <c r="E11" s="374"/>
    </row>
    <row r="12" spans="2:5" ht="12.75" customHeight="1">
      <c r="B12" s="4" t="s">
        <v>94</v>
      </c>
      <c r="C12" s="337">
        <v>874430743</v>
      </c>
      <c r="D12" s="337">
        <v>886107830</v>
      </c>
      <c r="E12" s="375">
        <v>-1.2999999999999999E-2</v>
      </c>
    </row>
    <row r="13" spans="2:5" ht="12.75" customHeight="1">
      <c r="B13" s="4" t="s">
        <v>95</v>
      </c>
      <c r="C13" s="337">
        <v>33332</v>
      </c>
      <c r="D13" s="337">
        <v>31468</v>
      </c>
      <c r="E13" s="375">
        <v>5.8999999999999997E-2</v>
      </c>
    </row>
    <row r="14" spans="2:5" ht="12.75" customHeight="1">
      <c r="B14" s="5" t="s">
        <v>210</v>
      </c>
      <c r="C14" s="338">
        <v>874464075</v>
      </c>
      <c r="D14" s="338">
        <v>886139298</v>
      </c>
      <c r="E14" s="376">
        <v>-1.2999999999999999E-2</v>
      </c>
    </row>
    <row r="15" spans="2:5" ht="12.75" customHeight="1">
      <c r="B15" s="5" t="s">
        <v>183</v>
      </c>
      <c r="C15" s="338">
        <v>2433133155</v>
      </c>
      <c r="D15" s="338">
        <v>2423347729</v>
      </c>
      <c r="E15" s="376">
        <v>4.0000000000000001E-3</v>
      </c>
    </row>
    <row r="16" spans="2:5" ht="15" customHeight="1">
      <c r="B16" s="14"/>
      <c r="C16" s="14"/>
      <c r="D16" s="14"/>
      <c r="E16" s="14"/>
    </row>
    <row r="17" spans="2:5" ht="15" customHeight="1">
      <c r="C17" s="330"/>
      <c r="D17" s="330"/>
    </row>
    <row r="18" spans="2:5" ht="15" customHeight="1"/>
    <row r="19" spans="2:5" ht="15" customHeight="1">
      <c r="B19" s="380"/>
      <c r="C19" s="380"/>
      <c r="D19" s="380"/>
    </row>
    <row r="20" spans="2:5" ht="15" customHeight="1" thickBot="1">
      <c r="B20" s="378" t="s">
        <v>242</v>
      </c>
      <c r="C20" s="379" t="s">
        <v>400</v>
      </c>
      <c r="D20" s="379"/>
    </row>
    <row r="21" spans="2:5" ht="15" customHeight="1">
      <c r="B21" s="23" t="s">
        <v>377</v>
      </c>
      <c r="C21" s="18">
        <v>19472776</v>
      </c>
      <c r="D21" s="381"/>
      <c r="E21" s="364"/>
    </row>
    <row r="22" spans="2:5" ht="15" customHeight="1">
      <c r="B22" s="23" t="s">
        <v>379</v>
      </c>
      <c r="C22" s="18">
        <v>8133829</v>
      </c>
      <c r="D22" s="381"/>
      <c r="E22" s="364"/>
    </row>
    <row r="23" spans="2:5" ht="15" customHeight="1">
      <c r="B23" s="23" t="s">
        <v>378</v>
      </c>
      <c r="C23" s="18">
        <v>7261824</v>
      </c>
      <c r="D23" s="381"/>
      <c r="E23" s="364"/>
    </row>
    <row r="24" spans="2:5" ht="15" customHeight="1">
      <c r="B24" s="23" t="s">
        <v>380</v>
      </c>
      <c r="C24" s="18">
        <v>2964722</v>
      </c>
      <c r="D24" s="381"/>
      <c r="E24" s="364"/>
    </row>
    <row r="25" spans="2:5" ht="15" customHeight="1">
      <c r="B25" s="23" t="s">
        <v>381</v>
      </c>
      <c r="C25" s="18">
        <v>2932959</v>
      </c>
      <c r="D25" s="381"/>
      <c r="E25" s="364"/>
    </row>
    <row r="26" spans="2:5" ht="15" customHeight="1">
      <c r="B26" s="23" t="s">
        <v>382</v>
      </c>
      <c r="C26" s="18">
        <v>1629254</v>
      </c>
      <c r="D26" s="381"/>
      <c r="E26" s="364"/>
    </row>
    <row r="27" spans="2:5" ht="15" customHeight="1">
      <c r="B27" s="23" t="s">
        <v>409</v>
      </c>
      <c r="C27" s="18">
        <v>808967</v>
      </c>
      <c r="D27" s="381"/>
      <c r="E27" s="364"/>
    </row>
    <row r="28" spans="2:5" ht="15" customHeight="1">
      <c r="B28" s="23" t="s">
        <v>384</v>
      </c>
      <c r="C28" s="18">
        <v>771759</v>
      </c>
      <c r="D28" s="381"/>
      <c r="E28" s="364"/>
    </row>
    <row r="29" spans="2:5" ht="15" customHeight="1">
      <c r="B29" s="23" t="s">
        <v>383</v>
      </c>
      <c r="C29" s="18">
        <v>680775</v>
      </c>
      <c r="D29" s="381"/>
      <c r="E29" s="364"/>
    </row>
    <row r="30" spans="2:5" ht="15" customHeight="1">
      <c r="B30" s="23" t="s">
        <v>410</v>
      </c>
      <c r="C30" s="18">
        <v>537012</v>
      </c>
      <c r="D30" s="458"/>
      <c r="E30" s="458"/>
    </row>
    <row r="31" spans="2:5" ht="15" customHeight="1">
      <c r="B31" s="23" t="s">
        <v>411</v>
      </c>
      <c r="C31" s="18">
        <v>486619</v>
      </c>
    </row>
    <row r="32" spans="2:5" ht="15" customHeight="1">
      <c r="B32" s="23" t="s">
        <v>412</v>
      </c>
      <c r="C32" s="18">
        <v>338945</v>
      </c>
    </row>
    <row r="33" spans="2:3" ht="15" customHeight="1">
      <c r="B33" s="23" t="s">
        <v>385</v>
      </c>
      <c r="C33" s="18">
        <v>17620021</v>
      </c>
    </row>
    <row r="34" spans="2:3" ht="15" customHeight="1"/>
  </sheetData>
  <mergeCells count="1">
    <mergeCell ref="D30:E30"/>
  </mergeCells>
  <phoneticPr fontId="5" type="noConversion"/>
  <pageMargins left="0.74803149606299213" right="0.74803149606299213" top="0.98425196850393704" bottom="0.98425196850393704" header="0" footer="0"/>
  <pageSetup scale="77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92D050"/>
  </sheetPr>
  <dimension ref="A1:O63"/>
  <sheetViews>
    <sheetView showGridLines="0" zoomScale="115" zoomScaleNormal="115" workbookViewId="0"/>
  </sheetViews>
  <sheetFormatPr baseColWidth="10" defaultColWidth="0" defaultRowHeight="15" customHeight="1" zeroHeight="1"/>
  <cols>
    <col min="1" max="1" width="7.33203125" style="7" customWidth="1"/>
    <col min="2" max="2" width="24.5546875" style="7" bestFit="1" customWidth="1"/>
    <col min="3" max="3" width="9.44140625" style="7" customWidth="1"/>
    <col min="4" max="4" width="17.77734375" style="7" customWidth="1"/>
    <col min="5" max="7" width="10.77734375" style="7" customWidth="1"/>
    <col min="8" max="8" width="12.44140625" style="7" customWidth="1"/>
    <col min="9" max="9" width="11.44140625" style="7" customWidth="1"/>
    <col min="10" max="10" width="14.5546875" style="7" customWidth="1"/>
    <col min="11" max="11" width="11.44140625" style="7" customWidth="1"/>
    <col min="12" max="12" width="30.21875" style="7" bestFit="1" customWidth="1"/>
    <col min="13" max="15" width="11.44140625" style="7" customWidth="1"/>
    <col min="16" max="16384" width="11.44140625" style="7" hidden="1"/>
  </cols>
  <sheetData>
    <row r="1" spans="1:10" ht="15" customHeight="1">
      <c r="E1" s="29"/>
      <c r="F1" s="29"/>
      <c r="G1" s="29"/>
      <c r="H1" s="29"/>
    </row>
    <row r="2" spans="1:10" ht="18.75" customHeight="1" thickBot="1">
      <c r="B2" s="30" t="s">
        <v>259</v>
      </c>
      <c r="C2" s="31" t="s">
        <v>202</v>
      </c>
      <c r="D2" s="31" t="s">
        <v>203</v>
      </c>
      <c r="E2" s="31" t="s">
        <v>204</v>
      </c>
      <c r="F2" s="31" t="s">
        <v>213</v>
      </c>
      <c r="G2" s="31" t="s">
        <v>214</v>
      </c>
      <c r="H2" s="31" t="s">
        <v>215</v>
      </c>
    </row>
    <row r="3" spans="1:10" ht="15" customHeight="1">
      <c r="A3" s="371"/>
      <c r="B3" s="3" t="s">
        <v>205</v>
      </c>
      <c r="C3" s="32" t="s">
        <v>71</v>
      </c>
      <c r="D3" s="263">
        <v>173762351</v>
      </c>
      <c r="E3" s="264">
        <v>23535639</v>
      </c>
      <c r="F3" s="264">
        <v>39601648</v>
      </c>
      <c r="G3" s="264">
        <v>39519797</v>
      </c>
      <c r="H3" s="264">
        <v>71105267</v>
      </c>
    </row>
    <row r="4" spans="1:10" ht="15" customHeight="1">
      <c r="A4" s="371"/>
      <c r="B4" s="4" t="s">
        <v>372</v>
      </c>
      <c r="C4" s="32" t="s">
        <v>71</v>
      </c>
      <c r="D4" s="263">
        <v>969081355</v>
      </c>
      <c r="E4" s="264">
        <v>21346877</v>
      </c>
      <c r="F4" s="264">
        <v>0</v>
      </c>
      <c r="G4" s="264">
        <v>103951592</v>
      </c>
      <c r="H4" s="264">
        <v>843782886</v>
      </c>
    </row>
    <row r="5" spans="1:10" ht="15" customHeight="1">
      <c r="A5" s="371"/>
      <c r="B5" s="4" t="s">
        <v>234</v>
      </c>
      <c r="C5" s="32" t="s">
        <v>71</v>
      </c>
      <c r="D5" s="263">
        <v>201202883</v>
      </c>
      <c r="E5" s="264">
        <v>44589354</v>
      </c>
      <c r="F5" s="264">
        <v>97023344</v>
      </c>
      <c r="G5" s="264">
        <v>59590185</v>
      </c>
      <c r="H5" s="264">
        <v>0</v>
      </c>
    </row>
    <row r="6" spans="1:10" ht="15" hidden="1" customHeight="1">
      <c r="A6" s="371"/>
      <c r="B6" s="4" t="s">
        <v>334</v>
      </c>
      <c r="C6" s="32" t="s">
        <v>333</v>
      </c>
      <c r="D6" s="263">
        <v>0</v>
      </c>
      <c r="E6" s="264">
        <v>0</v>
      </c>
      <c r="F6" s="264"/>
      <c r="G6" s="264"/>
      <c r="H6" s="264"/>
    </row>
    <row r="7" spans="1:10" ht="15" customHeight="1">
      <c r="B7" s="5" t="s">
        <v>314</v>
      </c>
      <c r="C7" s="32"/>
      <c r="D7" s="263">
        <v>1344046589</v>
      </c>
      <c r="E7" s="263">
        <v>89471870</v>
      </c>
      <c r="F7" s="263">
        <v>136624992</v>
      </c>
      <c r="G7" s="263">
        <v>203061574</v>
      </c>
      <c r="H7" s="263">
        <v>914888153</v>
      </c>
    </row>
    <row r="8" spans="1:10" ht="15" customHeight="1">
      <c r="A8" s="371"/>
      <c r="B8" s="340" t="s">
        <v>280</v>
      </c>
      <c r="C8" s="341" t="s">
        <v>71</v>
      </c>
      <c r="D8" s="342">
        <v>4462988</v>
      </c>
      <c r="E8" s="343">
        <v>1825574</v>
      </c>
      <c r="F8" s="343">
        <v>1140950</v>
      </c>
      <c r="G8" s="343">
        <v>644798</v>
      </c>
      <c r="H8" s="343">
        <v>851666</v>
      </c>
    </row>
    <row r="9" spans="1:10" ht="15" customHeight="1" thickBot="1">
      <c r="A9" s="371"/>
      <c r="B9" s="5" t="s">
        <v>315</v>
      </c>
      <c r="C9" s="33"/>
      <c r="D9" s="265">
        <v>4462988</v>
      </c>
      <c r="E9" s="265">
        <v>1825574</v>
      </c>
      <c r="F9" s="265">
        <v>1140950</v>
      </c>
      <c r="G9" s="265">
        <v>644798</v>
      </c>
      <c r="H9" s="265">
        <v>851666</v>
      </c>
    </row>
    <row r="10" spans="1:10" ht="15" customHeight="1">
      <c r="B10" s="34" t="s">
        <v>211</v>
      </c>
      <c r="C10" s="14"/>
      <c r="D10" s="263">
        <v>1348509577</v>
      </c>
      <c r="E10" s="263">
        <v>91297444</v>
      </c>
      <c r="F10" s="263">
        <v>137765942</v>
      </c>
      <c r="G10" s="263">
        <v>203706372</v>
      </c>
      <c r="H10" s="263">
        <v>915739819</v>
      </c>
      <c r="J10" s="21"/>
    </row>
    <row r="11" spans="1:10" ht="15" customHeight="1">
      <c r="D11" s="377">
        <v>0</v>
      </c>
    </row>
    <row r="12" spans="1:10" ht="15" customHeight="1">
      <c r="B12" s="7" t="s">
        <v>243</v>
      </c>
      <c r="D12" s="21"/>
      <c r="E12" s="21"/>
      <c r="F12" s="7" t="s">
        <v>244</v>
      </c>
      <c r="G12" s="21"/>
      <c r="H12" s="21"/>
    </row>
    <row r="13" spans="1:10" ht="15" customHeight="1">
      <c r="B13" s="448" t="s">
        <v>205</v>
      </c>
      <c r="C13" s="370">
        <v>0.12886</v>
      </c>
      <c r="D13" s="449">
        <v>173762351</v>
      </c>
      <c r="E13" s="448"/>
      <c r="F13" s="448" t="s">
        <v>217</v>
      </c>
      <c r="G13" s="370">
        <v>0.89451000000000003</v>
      </c>
      <c r="H13" s="449">
        <v>1206258871</v>
      </c>
      <c r="I13" s="371"/>
    </row>
    <row r="14" spans="1:10" ht="15" customHeight="1">
      <c r="B14" s="448" t="s">
        <v>233</v>
      </c>
      <c r="C14" s="370">
        <v>0.71862999999999999</v>
      </c>
      <c r="D14" s="449">
        <v>969081355</v>
      </c>
      <c r="E14" s="448"/>
      <c r="F14" s="448" t="s">
        <v>216</v>
      </c>
      <c r="G14" s="370">
        <v>0.10549</v>
      </c>
      <c r="H14" s="449">
        <v>142250706</v>
      </c>
      <c r="I14" s="371"/>
      <c r="J14" s="416"/>
    </row>
    <row r="15" spans="1:10" ht="15" customHeight="1">
      <c r="B15" s="448" t="s">
        <v>234</v>
      </c>
      <c r="C15" s="370">
        <v>0.1492</v>
      </c>
      <c r="D15" s="449">
        <v>201202883</v>
      </c>
      <c r="E15" s="448"/>
      <c r="F15" s="448"/>
      <c r="G15" s="372">
        <v>1</v>
      </c>
      <c r="H15" s="449">
        <v>1348509577</v>
      </c>
      <c r="J15" s="363"/>
    </row>
    <row r="16" spans="1:10" ht="13.8">
      <c r="B16" s="448" t="s">
        <v>280</v>
      </c>
      <c r="C16" s="370">
        <v>3.3E-3</v>
      </c>
      <c r="D16" s="449">
        <v>4462988</v>
      </c>
      <c r="E16" s="450"/>
      <c r="F16" s="450"/>
      <c r="G16" s="451"/>
      <c r="H16" s="450"/>
    </row>
    <row r="17" spans="3:8" ht="15" customHeight="1">
      <c r="C17" s="369">
        <v>0.99998999999999993</v>
      </c>
      <c r="D17" s="365"/>
      <c r="G17" s="36"/>
    </row>
    <row r="18" spans="3:8" ht="15" customHeight="1">
      <c r="C18" s="35"/>
      <c r="D18" s="21"/>
      <c r="E18" s="21"/>
      <c r="F18" s="21"/>
      <c r="G18" s="21"/>
      <c r="H18" s="21"/>
    </row>
    <row r="19" spans="3:8" ht="15" customHeight="1">
      <c r="C19" s="36"/>
      <c r="D19" s="21"/>
      <c r="E19" s="21"/>
      <c r="F19" s="21"/>
      <c r="G19" s="21"/>
      <c r="H19" s="21"/>
    </row>
    <row r="20" spans="3:8" ht="15" customHeight="1">
      <c r="D20" s="21"/>
    </row>
    <row r="21" spans="3:8" ht="15" customHeight="1">
      <c r="D21" s="21"/>
    </row>
    <row r="22" spans="3:8" ht="15" customHeight="1"/>
    <row r="23" spans="3:8" ht="15" customHeight="1"/>
    <row r="24" spans="3:8" ht="15" customHeight="1"/>
    <row r="25" spans="3:8" ht="15" customHeight="1"/>
    <row r="26" spans="3:8" ht="15" customHeight="1"/>
    <row r="27" spans="3:8" ht="15" customHeight="1"/>
    <row r="28" spans="3:8" ht="15" customHeight="1"/>
    <row r="29" spans="3:8" ht="15" customHeight="1"/>
    <row r="30" spans="3:8" ht="15" customHeight="1"/>
    <row r="31" spans="3:8" ht="15" customHeight="1"/>
    <row r="32" spans="3:8" ht="15" customHeight="1"/>
    <row r="33" spans="1:4" ht="15" customHeight="1"/>
    <row r="34" spans="1:4" ht="15" customHeight="1"/>
    <row r="35" spans="1:4" ht="15" customHeight="1"/>
    <row r="36" spans="1:4" ht="15" customHeight="1"/>
    <row r="37" spans="1:4" ht="15" customHeight="1"/>
    <row r="38" spans="1:4" ht="15" customHeight="1"/>
    <row r="39" spans="1:4" ht="15" customHeight="1"/>
    <row r="40" spans="1:4" ht="15" customHeight="1"/>
    <row r="41" spans="1:4" ht="15" customHeight="1"/>
    <row r="42" spans="1:4" ht="15" customHeight="1"/>
    <row r="43" spans="1:4" ht="15" customHeight="1">
      <c r="A43" s="130" t="s">
        <v>303</v>
      </c>
      <c r="B43" s="327">
        <v>142250706</v>
      </c>
      <c r="C43" s="445">
        <v>0.1055</v>
      </c>
      <c r="D43" s="330"/>
    </row>
    <row r="44" spans="1:4" ht="15" customHeight="1">
      <c r="A44" s="130" t="s">
        <v>304</v>
      </c>
      <c r="B44" s="327">
        <v>58952177</v>
      </c>
      <c r="C44" s="445">
        <v>4.3700000000000003E-2</v>
      </c>
    </row>
    <row r="45" spans="1:4" ht="15" customHeight="1">
      <c r="A45" s="130" t="s">
        <v>233</v>
      </c>
      <c r="B45" s="327">
        <v>961567204</v>
      </c>
      <c r="C45" s="445">
        <v>0.71299999999999997</v>
      </c>
    </row>
    <row r="46" spans="1:4" ht="15" customHeight="1">
      <c r="A46" s="130" t="s">
        <v>301</v>
      </c>
      <c r="B46" s="327">
        <v>173762351</v>
      </c>
      <c r="C46" s="445">
        <v>0.12889999999999999</v>
      </c>
    </row>
    <row r="47" spans="1:4" ht="15" customHeight="1">
      <c r="A47" s="130" t="s">
        <v>331</v>
      </c>
      <c r="B47" s="327">
        <v>7514151</v>
      </c>
      <c r="C47" s="445">
        <v>5.5999999999999999E-3</v>
      </c>
      <c r="D47" s="130"/>
    </row>
    <row r="48" spans="1:4" ht="15" customHeight="1">
      <c r="A48" s="130" t="s">
        <v>407</v>
      </c>
      <c r="B48" s="327">
        <v>0</v>
      </c>
      <c r="C48" s="445">
        <v>0</v>
      </c>
    </row>
    <row r="49" spans="1:5" ht="15" customHeight="1">
      <c r="A49" s="130" t="s">
        <v>299</v>
      </c>
      <c r="B49" s="327">
        <v>4462988</v>
      </c>
      <c r="C49" s="445">
        <v>3.3E-3</v>
      </c>
    </row>
    <row r="50" spans="1:5" ht="15" customHeight="1">
      <c r="A50" s="129" t="s">
        <v>302</v>
      </c>
      <c r="B50" s="328">
        <v>1348509577</v>
      </c>
      <c r="C50" s="329">
        <v>1</v>
      </c>
    </row>
    <row r="51" spans="1:5" ht="15" customHeight="1">
      <c r="A51" s="130"/>
    </row>
    <row r="52" spans="1:5" ht="15" customHeight="1">
      <c r="A52" s="325" t="s">
        <v>406</v>
      </c>
      <c r="B52" s="325"/>
      <c r="C52" s="325"/>
    </row>
    <row r="53" spans="1:5" ht="15" customHeight="1">
      <c r="A53" s="130" t="s">
        <v>217</v>
      </c>
      <c r="B53" s="130"/>
      <c r="C53" s="258">
        <v>0.89449999999999996</v>
      </c>
      <c r="D53" s="35"/>
    </row>
    <row r="54" spans="1:5" ht="15" customHeight="1">
      <c r="A54" s="130" t="s">
        <v>216</v>
      </c>
      <c r="B54" s="130"/>
      <c r="C54" s="258">
        <v>0.1055</v>
      </c>
      <c r="D54" s="35"/>
    </row>
    <row r="55" spans="1:5" ht="15" customHeight="1">
      <c r="A55" s="326" t="s">
        <v>198</v>
      </c>
      <c r="B55" s="326"/>
      <c r="C55" s="368">
        <v>1</v>
      </c>
      <c r="D55" s="35"/>
      <c r="E55" s="446"/>
    </row>
    <row r="56" spans="1:5" ht="15" customHeight="1">
      <c r="A56" s="130" t="s">
        <v>297</v>
      </c>
      <c r="B56" s="130"/>
      <c r="C56" s="230">
        <v>0.79700000000000004</v>
      </c>
    </row>
    <row r="57" spans="1:5" ht="15" customHeight="1">
      <c r="A57" s="130" t="s">
        <v>298</v>
      </c>
      <c r="B57" s="130"/>
      <c r="C57" s="230">
        <v>0.14399999999999999</v>
      </c>
    </row>
    <row r="58" spans="1:5" ht="15" customHeight="1">
      <c r="A58" s="130" t="s">
        <v>300</v>
      </c>
      <c r="B58" s="130"/>
      <c r="C58" s="230">
        <v>4.9000000000000002E-2</v>
      </c>
    </row>
    <row r="59" spans="1:5" ht="15" customHeight="1">
      <c r="A59" s="130" t="s">
        <v>331</v>
      </c>
      <c r="B59" s="130"/>
      <c r="C59" s="230">
        <v>6.0000000000000001E-3</v>
      </c>
    </row>
    <row r="60" spans="1:5" ht="15" customHeight="1">
      <c r="A60" s="130" t="s">
        <v>407</v>
      </c>
      <c r="B60" s="130"/>
      <c r="C60" s="230">
        <v>0</v>
      </c>
    </row>
    <row r="61" spans="1:5" ht="15" customHeight="1">
      <c r="A61" s="130" t="s">
        <v>299</v>
      </c>
      <c r="B61" s="130"/>
      <c r="C61" s="230">
        <v>4.0000000000000001E-3</v>
      </c>
    </row>
    <row r="62" spans="1:5" ht="15" customHeight="1">
      <c r="A62" s="326" t="s">
        <v>198</v>
      </c>
      <c r="B62" s="326"/>
      <c r="C62" s="368">
        <v>1</v>
      </c>
    </row>
    <row r="63" spans="1:5" ht="15" customHeight="1"/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92D050"/>
    <pageSetUpPr fitToPage="1"/>
  </sheetPr>
  <dimension ref="A1:G18"/>
  <sheetViews>
    <sheetView showGridLines="0" zoomScale="175" zoomScaleNormal="175" workbookViewId="0"/>
  </sheetViews>
  <sheetFormatPr baseColWidth="10" defaultColWidth="0" defaultRowHeight="15" customHeight="1" zeroHeight="1"/>
  <cols>
    <col min="1" max="1" width="6" style="7" customWidth="1"/>
    <col min="2" max="2" width="33.44140625" style="7" customWidth="1"/>
    <col min="3" max="4" width="12" style="7" bestFit="1" customWidth="1"/>
    <col min="5" max="7" width="11.44140625" style="7" customWidth="1"/>
    <col min="8" max="16384" width="11.44140625" style="7" hidden="1"/>
  </cols>
  <sheetData>
    <row r="1" spans="2:5" ht="15" customHeight="1"/>
    <row r="2" spans="2:5" ht="15" customHeight="1"/>
    <row r="3" spans="2:5" ht="15" customHeight="1" thickBot="1">
      <c r="B3" s="19" t="s">
        <v>277</v>
      </c>
      <c r="C3" s="6" t="s">
        <v>400</v>
      </c>
      <c r="D3" s="6" t="s">
        <v>405</v>
      </c>
      <c r="E3" s="6" t="s">
        <v>181</v>
      </c>
    </row>
    <row r="4" spans="2:5" ht="15" customHeight="1">
      <c r="B4" s="4" t="s">
        <v>184</v>
      </c>
      <c r="C4" s="8">
        <v>149518998</v>
      </c>
      <c r="D4" s="8">
        <v>132496700</v>
      </c>
      <c r="E4" s="37">
        <v>0.128</v>
      </c>
    </row>
    <row r="5" spans="2:5" ht="15" customHeight="1">
      <c r="B5" s="4" t="s">
        <v>185</v>
      </c>
      <c r="C5" s="8">
        <v>-97503654</v>
      </c>
      <c r="D5" s="8">
        <v>-64753007</v>
      </c>
      <c r="E5" s="37">
        <v>0.50600000000000001</v>
      </c>
    </row>
    <row r="6" spans="2:5" ht="15" customHeight="1">
      <c r="B6" s="4" t="s">
        <v>186</v>
      </c>
      <c r="C6" s="8">
        <v>-53411837</v>
      </c>
      <c r="D6" s="8">
        <v>-81912844</v>
      </c>
      <c r="E6" s="37">
        <v>-0.34799999999999998</v>
      </c>
    </row>
    <row r="7" spans="2:5" ht="15" customHeight="1">
      <c r="B7" s="5" t="s">
        <v>258</v>
      </c>
      <c r="C7" s="10">
        <v>-1396493</v>
      </c>
      <c r="D7" s="10">
        <v>-14169151</v>
      </c>
      <c r="E7" s="345">
        <v>-0.90100000000000002</v>
      </c>
    </row>
    <row r="8" spans="2:5" ht="15" customHeight="1">
      <c r="B8" s="5" t="s">
        <v>187</v>
      </c>
      <c r="C8" s="10">
        <v>107760188</v>
      </c>
      <c r="D8" s="10">
        <v>165166190</v>
      </c>
      <c r="E8" s="345">
        <v>-0.34799999999999998</v>
      </c>
    </row>
    <row r="9" spans="2:5" ht="15" customHeight="1">
      <c r="C9" s="24"/>
      <c r="D9" s="24"/>
    </row>
    <row r="10" spans="2:5" ht="15" customHeight="1"/>
    <row r="11" spans="2:5" ht="15" customHeight="1">
      <c r="C11" s="16"/>
    </row>
    <row r="12" spans="2:5" ht="15" hidden="1" customHeight="1">
      <c r="C12" s="16"/>
      <c r="D12" s="24"/>
    </row>
    <row r="13" spans="2:5" ht="15" hidden="1" customHeight="1">
      <c r="C13" s="16"/>
    </row>
    <row r="14" spans="2:5" ht="15" hidden="1" customHeight="1">
      <c r="C14" s="16"/>
    </row>
    <row r="15" spans="2:5" ht="15" hidden="1" customHeight="1">
      <c r="C15" s="16"/>
    </row>
    <row r="16" spans="2:5" ht="15" hidden="1" customHeight="1">
      <c r="C16" s="16"/>
    </row>
    <row r="17" spans="3:3" ht="15" hidden="1" customHeight="1">
      <c r="C17" s="16"/>
    </row>
    <row r="18" spans="3:3" ht="15" hidden="1" customHeight="1">
      <c r="C18" s="21"/>
    </row>
  </sheetData>
  <pageMargins left="0.74803149606299213" right="0.74803149606299213" top="0.98425196850393704" bottom="0.98425196850393704" header="0" footer="0"/>
  <pageSetup scale="92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92D050"/>
    <pageSetUpPr fitToPage="1"/>
  </sheetPr>
  <dimension ref="A1:H17"/>
  <sheetViews>
    <sheetView showGridLines="0" zoomScale="175" zoomScaleNormal="175" workbookViewId="0"/>
  </sheetViews>
  <sheetFormatPr baseColWidth="10" defaultColWidth="0" defaultRowHeight="15" customHeight="1" zeroHeight="1"/>
  <cols>
    <col min="1" max="1" width="8" style="15" bestFit="1" customWidth="1"/>
    <col min="2" max="2" width="35.44140625" style="15" bestFit="1" customWidth="1"/>
    <col min="3" max="3" width="8.5546875" style="15" customWidth="1"/>
    <col min="4" max="5" width="13.5546875" style="15" customWidth="1"/>
    <col min="6" max="6" width="11.44140625" style="15" customWidth="1"/>
    <col min="7" max="8" width="0" style="15" hidden="1" customWidth="1"/>
    <col min="9" max="16384" width="11.44140625" style="15" hidden="1"/>
  </cols>
  <sheetData>
    <row r="1" spans="1:5" ht="15" customHeight="1"/>
    <row r="2" spans="1:5" ht="15" customHeight="1"/>
    <row r="3" spans="1:5" ht="15" customHeight="1" thickBot="1">
      <c r="B3" s="38"/>
      <c r="C3" s="31"/>
      <c r="D3" s="31" t="s">
        <v>400</v>
      </c>
      <c r="E3" s="31" t="s">
        <v>374</v>
      </c>
    </row>
    <row r="4" spans="1:5" ht="15" customHeight="1">
      <c r="B4" s="5" t="s">
        <v>64</v>
      </c>
      <c r="C4" s="4"/>
    </row>
    <row r="5" spans="1:5" ht="15" customHeight="1">
      <c r="A5" s="39"/>
      <c r="B5" s="4" t="s">
        <v>201</v>
      </c>
      <c r="C5" s="32" t="s">
        <v>65</v>
      </c>
      <c r="D5" s="40">
        <v>0.99</v>
      </c>
      <c r="E5" s="40">
        <v>0.76</v>
      </c>
    </row>
    <row r="6" spans="1:5" ht="15" customHeight="1">
      <c r="A6" s="39"/>
      <c r="B6" s="4" t="s">
        <v>188</v>
      </c>
      <c r="C6" s="32" t="s">
        <v>65</v>
      </c>
      <c r="D6" s="40">
        <v>0.43</v>
      </c>
      <c r="E6" s="40">
        <v>0.3</v>
      </c>
    </row>
    <row r="7" spans="1:5" ht="15" customHeight="1">
      <c r="B7" s="5" t="s">
        <v>66</v>
      </c>
      <c r="C7" s="4"/>
      <c r="D7" s="41"/>
      <c r="E7" s="41"/>
    </row>
    <row r="8" spans="1:5" ht="15" customHeight="1">
      <c r="B8" s="4" t="s">
        <v>189</v>
      </c>
      <c r="C8" s="32" t="s">
        <v>65</v>
      </c>
      <c r="D8" s="40">
        <v>1.78</v>
      </c>
      <c r="E8" s="40">
        <v>1.73</v>
      </c>
    </row>
    <row r="9" spans="1:5" ht="15" customHeight="1">
      <c r="A9" s="39"/>
      <c r="B9" s="4" t="s">
        <v>67</v>
      </c>
      <c r="C9" s="32" t="s">
        <v>65</v>
      </c>
      <c r="D9" s="40">
        <v>0.16220000000000001</v>
      </c>
      <c r="E9" s="40">
        <v>0.23530000000000001</v>
      </c>
    </row>
    <row r="10" spans="1:5" ht="15" customHeight="1">
      <c r="A10" s="39"/>
      <c r="B10" s="4" t="s">
        <v>68</v>
      </c>
      <c r="C10" s="32" t="s">
        <v>65</v>
      </c>
      <c r="D10" s="40">
        <v>0.83779999999999999</v>
      </c>
      <c r="E10" s="40">
        <v>0.76470000000000005</v>
      </c>
    </row>
    <row r="11" spans="1:5" ht="15" customHeight="1">
      <c r="A11" s="39"/>
      <c r="B11" s="4" t="s">
        <v>218</v>
      </c>
      <c r="C11" s="32" t="s">
        <v>65</v>
      </c>
      <c r="D11" s="40">
        <v>4.57</v>
      </c>
      <c r="E11" s="40">
        <v>4.42</v>
      </c>
    </row>
    <row r="12" spans="1:5" ht="15" customHeight="1">
      <c r="B12" s="5" t="s">
        <v>69</v>
      </c>
      <c r="C12" s="4"/>
      <c r="D12" s="41"/>
      <c r="E12" s="41"/>
    </row>
    <row r="13" spans="1:5" ht="24">
      <c r="A13" s="39"/>
      <c r="B13" s="42" t="s">
        <v>219</v>
      </c>
      <c r="C13" s="32" t="s">
        <v>70</v>
      </c>
      <c r="D13" s="40">
        <v>15.49</v>
      </c>
      <c r="E13" s="40">
        <v>15.47</v>
      </c>
    </row>
    <row r="14" spans="1:5" ht="15" customHeight="1">
      <c r="A14" s="39"/>
      <c r="B14" s="4" t="s">
        <v>220</v>
      </c>
      <c r="C14" s="32" t="s">
        <v>70</v>
      </c>
      <c r="D14" s="40">
        <v>5.57</v>
      </c>
      <c r="E14" s="40">
        <v>5.7299999999999995</v>
      </c>
    </row>
    <row r="15" spans="1:5" ht="15" customHeight="1">
      <c r="A15" s="39"/>
      <c r="B15" s="4" t="s">
        <v>221</v>
      </c>
      <c r="C15" s="32" t="s">
        <v>71</v>
      </c>
      <c r="D15" s="40">
        <v>22.14</v>
      </c>
      <c r="E15" s="40">
        <v>21.8</v>
      </c>
    </row>
    <row r="16" spans="1:5" ht="15" customHeight="1">
      <c r="B16" s="4" t="s">
        <v>206</v>
      </c>
      <c r="C16" s="32" t="s">
        <v>70</v>
      </c>
      <c r="D16" s="40">
        <v>8.17</v>
      </c>
      <c r="E16" s="40">
        <v>5.18</v>
      </c>
    </row>
    <row r="17" ht="15" customHeight="1"/>
  </sheetData>
  <pageMargins left="0.74803149606299213" right="0.74803149606299213" top="0.98425196850393704" bottom="0.98425196850393704" header="0" footer="0"/>
  <pageSetup orientation="portrait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92D050"/>
    <pageSetUpPr fitToPage="1"/>
  </sheetPr>
  <dimension ref="A1:V204"/>
  <sheetViews>
    <sheetView showGridLines="0" topLeftCell="E32" zoomScale="80" zoomScaleNormal="80" workbookViewId="0">
      <selection activeCell="J50" sqref="J50"/>
    </sheetView>
  </sheetViews>
  <sheetFormatPr baseColWidth="10" defaultColWidth="11.44140625" defaultRowHeight="15" customHeight="1"/>
  <cols>
    <col min="1" max="1" width="3.77734375" style="130" customWidth="1"/>
    <col min="2" max="2" width="39.77734375" style="130" customWidth="1"/>
    <col min="3" max="3" width="16.44140625" style="130" customWidth="1"/>
    <col min="4" max="4" width="18.77734375" style="130" bestFit="1" customWidth="1"/>
    <col min="5" max="6" width="18.5546875" style="130" bestFit="1" customWidth="1"/>
    <col min="7" max="7" width="17.44140625" style="130" customWidth="1"/>
    <col min="8" max="8" width="31.5546875" style="130" customWidth="1"/>
    <col min="9" max="9" width="7.21875" style="130" customWidth="1"/>
    <col min="10" max="10" width="21" style="130" bestFit="1" customWidth="1"/>
    <col min="11" max="11" width="11.21875" style="130" customWidth="1"/>
    <col min="12" max="12" width="17.77734375" style="130" customWidth="1"/>
    <col min="13" max="13" width="11.21875" style="130" customWidth="1"/>
    <col min="14" max="14" width="1.5546875" style="130" customWidth="1"/>
    <col min="15" max="15" width="10.5546875" style="130" customWidth="1"/>
    <col min="16" max="16" width="11.5546875" style="131" customWidth="1"/>
    <col min="17" max="17" width="13.44140625" style="130" customWidth="1"/>
    <col min="18" max="18" width="11.77734375" style="130" bestFit="1" customWidth="1"/>
    <col min="19" max="16384" width="11.44140625" style="130"/>
  </cols>
  <sheetData>
    <row r="1" spans="2:22" ht="15" customHeight="1">
      <c r="B1" s="129" t="s">
        <v>179</v>
      </c>
    </row>
    <row r="2" spans="2:22" ht="15" customHeight="1">
      <c r="B2" s="129" t="s">
        <v>178</v>
      </c>
      <c r="K2" s="134"/>
      <c r="T2" s="132"/>
    </row>
    <row r="3" spans="2:22" ht="15" customHeight="1" thickBot="1">
      <c r="H3" s="133" t="s">
        <v>4</v>
      </c>
      <c r="J3" s="134"/>
      <c r="K3" s="134"/>
      <c r="L3" s="134"/>
      <c r="R3" s="135"/>
    </row>
    <row r="4" spans="2:22" ht="15" customHeight="1" thickBot="1">
      <c r="B4" s="136" t="s">
        <v>6</v>
      </c>
      <c r="C4" s="137"/>
      <c r="D4" s="138" t="s">
        <v>391</v>
      </c>
      <c r="E4" s="138" t="s">
        <v>358</v>
      </c>
      <c r="F4" s="138" t="s">
        <v>332</v>
      </c>
      <c r="H4" s="129" t="s">
        <v>5</v>
      </c>
      <c r="J4" s="139" t="str">
        <f>+D4</f>
        <v>Jun-24</v>
      </c>
      <c r="L4" s="139" t="str">
        <f>+E4</f>
        <v>Dic-23</v>
      </c>
      <c r="O4" s="140"/>
      <c r="R4" s="141"/>
      <c r="S4" s="141"/>
      <c r="T4" s="142"/>
      <c r="U4" s="141"/>
      <c r="V4" s="141"/>
    </row>
    <row r="5" spans="2:22" ht="15" customHeight="1" thickBot="1">
      <c r="B5" s="143"/>
      <c r="C5" s="144"/>
      <c r="D5" s="144"/>
      <c r="E5" s="145"/>
      <c r="F5" s="146"/>
      <c r="H5" s="147" t="s">
        <v>7</v>
      </c>
      <c r="J5" s="134"/>
      <c r="K5" s="134"/>
      <c r="M5" s="134"/>
      <c r="P5" s="148"/>
    </row>
    <row r="6" spans="2:22" ht="15" customHeight="1">
      <c r="B6" s="149" t="s">
        <v>47</v>
      </c>
      <c r="C6" s="150" t="s">
        <v>8</v>
      </c>
      <c r="D6" s="151">
        <f>+Balance!D15</f>
        <v>251313223</v>
      </c>
      <c r="E6" s="152">
        <f>+Balance!E15</f>
        <v>275004410</v>
      </c>
      <c r="F6" s="153">
        <f>+[2]Cálculos!$E$6</f>
        <v>324838124</v>
      </c>
      <c r="H6" s="129" t="s">
        <v>9</v>
      </c>
      <c r="J6" s="134"/>
      <c r="K6" s="134"/>
      <c r="M6" s="134"/>
      <c r="O6" s="154"/>
    </row>
    <row r="7" spans="2:22" ht="15" customHeight="1">
      <c r="B7" s="149" t="s">
        <v>48</v>
      </c>
      <c r="C7" s="150" t="s">
        <v>8</v>
      </c>
      <c r="D7" s="151">
        <f>+Balance!D26</f>
        <v>2181819932</v>
      </c>
      <c r="E7" s="152">
        <f>+Balance!E26</f>
        <v>2148343319</v>
      </c>
      <c r="F7" s="153">
        <f>+[2]Cálculos!$E$7</f>
        <v>2054511436</v>
      </c>
      <c r="H7" s="155" t="s">
        <v>45</v>
      </c>
      <c r="I7" s="130" t="s">
        <v>10</v>
      </c>
      <c r="J7" s="156">
        <f>+D6</f>
        <v>251313223</v>
      </c>
      <c r="K7" s="157">
        <f>ROUND(J7/J8,2)</f>
        <v>0.99</v>
      </c>
      <c r="L7" s="156">
        <f>+E6</f>
        <v>275004410</v>
      </c>
      <c r="M7" s="157">
        <f>ROUND(L7/L8,2)</f>
        <v>0.76</v>
      </c>
      <c r="N7" s="158"/>
      <c r="O7" s="159">
        <f>ROUND((K7/M7)-1,3)</f>
        <v>0.30299999999999999</v>
      </c>
      <c r="P7" s="160">
        <f>ROUND((J7/L7)-1,3)</f>
        <v>-8.5999999999999993E-2</v>
      </c>
      <c r="Q7" s="134">
        <f>+J7-L7</f>
        <v>-23691187</v>
      </c>
    </row>
    <row r="8" spans="2:22" ht="15" customHeight="1">
      <c r="B8" s="161" t="s">
        <v>11</v>
      </c>
      <c r="C8" s="162"/>
      <c r="D8" s="163">
        <f>SUM(D6:D7)</f>
        <v>2433133155</v>
      </c>
      <c r="E8" s="164">
        <f>SUM(E6:E7)</f>
        <v>2423347729</v>
      </c>
      <c r="F8" s="165">
        <f>SUM(F6:F7)</f>
        <v>2379349560</v>
      </c>
      <c r="H8" s="130" t="s">
        <v>46</v>
      </c>
      <c r="J8" s="134">
        <f>+D10</f>
        <v>252840419</v>
      </c>
      <c r="K8" s="134"/>
      <c r="L8" s="134">
        <f>+E10</f>
        <v>361668126</v>
      </c>
      <c r="M8" s="134"/>
      <c r="O8" s="166"/>
      <c r="P8" s="160">
        <f>ROUND((J8/L8)-1,3)</f>
        <v>-0.30099999999999999</v>
      </c>
      <c r="Q8" s="134">
        <f>+J8-L8</f>
        <v>-108827707</v>
      </c>
    </row>
    <row r="9" spans="2:22" ht="15" customHeight="1">
      <c r="B9" s="149"/>
      <c r="C9" s="144"/>
      <c r="D9" s="151"/>
      <c r="E9" s="152"/>
      <c r="F9" s="153"/>
      <c r="H9" s="129" t="s">
        <v>12</v>
      </c>
      <c r="J9" s="134"/>
      <c r="K9" s="134"/>
      <c r="L9" s="134"/>
      <c r="M9" s="134"/>
      <c r="O9" s="167"/>
    </row>
    <row r="10" spans="2:22" ht="15" customHeight="1">
      <c r="B10" s="149" t="s">
        <v>50</v>
      </c>
      <c r="C10" s="150" t="s">
        <v>8</v>
      </c>
      <c r="D10" s="151">
        <f>+Balance!D44</f>
        <v>252840419</v>
      </c>
      <c r="E10" s="152">
        <f>+Balance!E44</f>
        <v>361668126</v>
      </c>
      <c r="F10" s="153">
        <f>+[2]Cálculos!$E$10</f>
        <v>265797147</v>
      </c>
      <c r="H10" s="155" t="s">
        <v>55</v>
      </c>
      <c r="I10" s="130" t="s">
        <v>10</v>
      </c>
      <c r="J10" s="156">
        <f>+D33</f>
        <v>107760188</v>
      </c>
      <c r="K10" s="157">
        <f>ROUND(J10/J11,2)</f>
        <v>0.43</v>
      </c>
      <c r="L10" s="156">
        <f>+Balance!E6</f>
        <v>109156681</v>
      </c>
      <c r="M10" s="157">
        <f>ROUND(L10/L11,2)</f>
        <v>0.3</v>
      </c>
      <c r="N10" s="158"/>
      <c r="O10" s="159">
        <f>ROUND((K10/M10)-1,4)</f>
        <v>0.43330000000000002</v>
      </c>
      <c r="P10" s="160">
        <f>ROUND((J10/L10)-1,3)</f>
        <v>-1.2999999999999999E-2</v>
      </c>
      <c r="Q10" s="134">
        <f>+J10-L10</f>
        <v>-1396493</v>
      </c>
      <c r="R10" s="168"/>
    </row>
    <row r="11" spans="2:22" ht="15" customHeight="1" thickBot="1">
      <c r="B11" s="149" t="s">
        <v>49</v>
      </c>
      <c r="C11" s="150" t="s">
        <v>8</v>
      </c>
      <c r="D11" s="151">
        <f>+Balance!D54</f>
        <v>1305828661</v>
      </c>
      <c r="E11" s="152">
        <f>+Balance!E54</f>
        <v>1175540305</v>
      </c>
      <c r="F11" s="153">
        <f>+[2]Cálculos!$E$11</f>
        <v>1274661314</v>
      </c>
      <c r="H11" s="130" t="s">
        <v>46</v>
      </c>
      <c r="J11" s="134">
        <f>+D10</f>
        <v>252840419</v>
      </c>
      <c r="K11" s="134"/>
      <c r="L11" s="134">
        <f>+E10</f>
        <v>361668126</v>
      </c>
      <c r="M11" s="134"/>
      <c r="O11" s="166"/>
      <c r="P11" s="160">
        <f>ROUND((J11/L11)-1,3)</f>
        <v>-0.30099999999999999</v>
      </c>
      <c r="Q11" s="134">
        <f>+J11-L11</f>
        <v>-108827707</v>
      </c>
    </row>
    <row r="12" spans="2:22" ht="15" customHeight="1" thickBot="1">
      <c r="B12" s="149" t="s">
        <v>51</v>
      </c>
      <c r="C12" s="150" t="s">
        <v>8</v>
      </c>
      <c r="D12" s="151">
        <f>+Balance!D64</f>
        <v>33332</v>
      </c>
      <c r="E12" s="152">
        <f>+Balance!E64</f>
        <v>31468</v>
      </c>
      <c r="F12" s="153">
        <f>+[2]Cálculos!$E$12</f>
        <v>29573</v>
      </c>
      <c r="H12" s="147" t="s">
        <v>13</v>
      </c>
      <c r="J12" s="134"/>
      <c r="K12" s="134"/>
      <c r="L12" s="134"/>
      <c r="M12" s="134"/>
      <c r="O12" s="166"/>
    </row>
    <row r="13" spans="2:22" ht="15" customHeight="1">
      <c r="B13" s="149" t="s">
        <v>98</v>
      </c>
      <c r="C13" s="150" t="s">
        <v>8</v>
      </c>
      <c r="D13" s="151">
        <f>+Balance!D63</f>
        <v>874430743</v>
      </c>
      <c r="E13" s="152">
        <f>+Balance!E63</f>
        <v>886107830</v>
      </c>
      <c r="F13" s="153">
        <f>+[2]Cálculos!$E$13</f>
        <v>838861526</v>
      </c>
      <c r="H13" s="129" t="s">
        <v>14</v>
      </c>
      <c r="J13" s="134"/>
      <c r="K13" s="134"/>
      <c r="L13" s="134"/>
      <c r="M13" s="134"/>
      <c r="O13" s="166"/>
    </row>
    <row r="14" spans="2:22" ht="15" customHeight="1" thickBot="1">
      <c r="B14" s="169" t="s">
        <v>11</v>
      </c>
      <c r="C14" s="170"/>
      <c r="D14" s="171">
        <f>SUM(D10:D13)</f>
        <v>2433133155</v>
      </c>
      <c r="E14" s="172">
        <f>SUM(E10:E13)</f>
        <v>2423347729</v>
      </c>
      <c r="F14" s="173">
        <f>SUM(F10:F13)</f>
        <v>2379349560</v>
      </c>
      <c r="H14" s="155" t="s">
        <v>15</v>
      </c>
      <c r="I14" s="130" t="s">
        <v>10</v>
      </c>
      <c r="J14" s="156">
        <f>+D10+D11</f>
        <v>1558669080</v>
      </c>
      <c r="K14" s="174">
        <f>ROUND(J14/J15,2)</f>
        <v>1.78</v>
      </c>
      <c r="L14" s="156">
        <f>+E10+E11</f>
        <v>1537208431</v>
      </c>
      <c r="M14" s="174">
        <f>ROUND(L14/L15,2)</f>
        <v>1.73</v>
      </c>
      <c r="N14" s="175"/>
      <c r="O14" s="159">
        <f>ROUND((K14/M14)-1,4)</f>
        <v>2.8899999999999999E-2</v>
      </c>
      <c r="P14" s="160">
        <f>ROUND((J14/L14)-1,3)</f>
        <v>1.4E-2</v>
      </c>
      <c r="Q14" s="134">
        <f>+J14-L14</f>
        <v>21460649</v>
      </c>
    </row>
    <row r="15" spans="2:22" ht="15" customHeight="1" thickBot="1">
      <c r="B15" s="176"/>
      <c r="D15" s="177">
        <f>+D8-D14</f>
        <v>0</v>
      </c>
      <c r="E15" s="177">
        <f t="shared" ref="E15:F15" si="0">+E8-E14</f>
        <v>0</v>
      </c>
      <c r="F15" s="177">
        <f t="shared" si="0"/>
        <v>0</v>
      </c>
      <c r="H15" s="130" t="s">
        <v>96</v>
      </c>
      <c r="J15" s="134">
        <f>+D13+D12</f>
        <v>874464075</v>
      </c>
      <c r="K15" s="134"/>
      <c r="L15" s="134">
        <f>+E13+E12</f>
        <v>886139298</v>
      </c>
      <c r="M15" s="134"/>
      <c r="O15" s="166"/>
      <c r="P15" s="160">
        <f>ROUND((J15/L15)-1,3)</f>
        <v>-1.2999999999999999E-2</v>
      </c>
      <c r="Q15" s="134">
        <f>+J15-L15</f>
        <v>-11675223</v>
      </c>
    </row>
    <row r="16" spans="2:22" ht="15" customHeight="1">
      <c r="B16" s="136" t="s">
        <v>16</v>
      </c>
      <c r="C16" s="137"/>
      <c r="D16" s="178" t="str">
        <f>+$D$4</f>
        <v>Jun-24</v>
      </c>
      <c r="E16" s="178" t="s">
        <v>392</v>
      </c>
      <c r="F16" s="178" t="s">
        <v>358</v>
      </c>
      <c r="H16" s="129" t="s">
        <v>17</v>
      </c>
      <c r="J16" s="134"/>
      <c r="K16" s="134"/>
      <c r="L16" s="134"/>
      <c r="M16" s="134"/>
      <c r="O16" s="154"/>
    </row>
    <row r="17" spans="1:20" ht="15" customHeight="1">
      <c r="B17" s="143"/>
      <c r="C17" s="179"/>
      <c r="D17" s="180"/>
      <c r="E17" s="180"/>
      <c r="F17" s="181"/>
      <c r="H17" s="182" t="s">
        <v>46</v>
      </c>
      <c r="I17" s="130" t="s">
        <v>10</v>
      </c>
      <c r="J17" s="156">
        <f>+D10</f>
        <v>252840419</v>
      </c>
      <c r="K17" s="174">
        <f>ROUND(J17/J18,4)</f>
        <v>0.16220000000000001</v>
      </c>
      <c r="L17" s="156">
        <f>+E10</f>
        <v>361668126</v>
      </c>
      <c r="M17" s="174">
        <f>ROUND(L17/L18,4)</f>
        <v>0.23530000000000001</v>
      </c>
      <c r="N17" s="175"/>
      <c r="O17" s="159">
        <f>ROUND((K17/M17)-1,4)</f>
        <v>-0.31069999999999998</v>
      </c>
      <c r="P17" s="160">
        <f>ROUND((J17/L17)-1,3)</f>
        <v>-0.30099999999999999</v>
      </c>
      <c r="Q17" s="134">
        <f>+J17-L17</f>
        <v>-108827707</v>
      </c>
      <c r="R17" s="159"/>
    </row>
    <row r="18" spans="1:20" ht="15" customHeight="1">
      <c r="B18" s="149" t="s">
        <v>59</v>
      </c>
      <c r="C18" s="150" t="s">
        <v>8</v>
      </c>
      <c r="D18" s="180">
        <f>+C50</f>
        <v>339686610</v>
      </c>
      <c r="E18" s="180">
        <f>+D50</f>
        <v>336809270</v>
      </c>
      <c r="F18" s="181">
        <f>+E50</f>
        <v>640855854</v>
      </c>
      <c r="H18" s="130" t="s">
        <v>18</v>
      </c>
      <c r="J18" s="134">
        <f>+D10+D11</f>
        <v>1558669080</v>
      </c>
      <c r="K18" s="134"/>
      <c r="L18" s="134">
        <f>+E10+E11</f>
        <v>1537208431</v>
      </c>
      <c r="M18" s="134"/>
      <c r="O18" s="166"/>
      <c r="P18" s="160">
        <f>ROUND((J18/L18)-1,3)</f>
        <v>1.4E-2</v>
      </c>
      <c r="Q18" s="134">
        <f>+J18-L18</f>
        <v>21460649</v>
      </c>
    </row>
    <row r="19" spans="1:20" ht="15" customHeight="1">
      <c r="B19" s="149" t="s">
        <v>60</v>
      </c>
      <c r="C19" s="150" t="s">
        <v>8</v>
      </c>
      <c r="D19" s="180">
        <f>-C51-C53-C54-C55-C52</f>
        <v>204002740</v>
      </c>
      <c r="E19" s="180">
        <f>-D51-D53-D54-D55-D52</f>
        <v>202576231</v>
      </c>
      <c r="F19" s="181">
        <f>-E51-E53-E54-E55-E52</f>
        <v>400257261</v>
      </c>
      <c r="H19" s="129" t="s">
        <v>19</v>
      </c>
      <c r="J19" s="134"/>
      <c r="K19" s="134"/>
      <c r="L19" s="134"/>
      <c r="M19" s="134"/>
      <c r="O19" s="154"/>
      <c r="P19" s="183"/>
      <c r="Q19" s="134"/>
      <c r="R19" s="166"/>
      <c r="T19" s="134"/>
    </row>
    <row r="20" spans="1:20" ht="15" customHeight="1">
      <c r="B20" s="143" t="s">
        <v>75</v>
      </c>
      <c r="C20" s="179" t="s">
        <v>8</v>
      </c>
      <c r="D20" s="184">
        <f>+C64</f>
        <v>98221065</v>
      </c>
      <c r="E20" s="184">
        <f>+D64</f>
        <v>92468544</v>
      </c>
      <c r="F20" s="185">
        <f>+E64</f>
        <v>167301553</v>
      </c>
      <c r="H20" s="182" t="s">
        <v>56</v>
      </c>
      <c r="I20" s="130" t="s">
        <v>10</v>
      </c>
      <c r="J20" s="156">
        <f>+D11</f>
        <v>1305828661</v>
      </c>
      <c r="K20" s="174">
        <f>ROUND(J20/J21,4)</f>
        <v>0.83779999999999999</v>
      </c>
      <c r="L20" s="156">
        <f>+E11</f>
        <v>1175540305</v>
      </c>
      <c r="M20" s="174">
        <f>ROUND(L20/L21,4)</f>
        <v>0.76470000000000005</v>
      </c>
      <c r="N20" s="175"/>
      <c r="O20" s="159">
        <f>ROUND((K20/M20)-1,4)</f>
        <v>9.5600000000000004E-2</v>
      </c>
      <c r="P20" s="160">
        <f>ROUND((J20/L20)-1,3)</f>
        <v>0.111</v>
      </c>
      <c r="Q20" s="134">
        <f>+J20-L20</f>
        <v>130288356</v>
      </c>
      <c r="R20" s="166"/>
      <c r="T20" s="134"/>
    </row>
    <row r="21" spans="1:20" ht="15" customHeight="1">
      <c r="B21" s="149" t="s">
        <v>22</v>
      </c>
      <c r="C21" s="150" t="s">
        <v>8</v>
      </c>
      <c r="D21" s="180">
        <f>+C58</f>
        <v>-23932819</v>
      </c>
      <c r="E21" s="180">
        <f>+D58</f>
        <v>-24265318</v>
      </c>
      <c r="F21" s="181">
        <f>+E58</f>
        <v>-48849432</v>
      </c>
      <c r="H21" s="130" t="s">
        <v>18</v>
      </c>
      <c r="J21" s="134">
        <f>+J18</f>
        <v>1558669080</v>
      </c>
      <c r="K21" s="134" t="s">
        <v>4</v>
      </c>
      <c r="L21" s="134">
        <f>+L18</f>
        <v>1537208431</v>
      </c>
      <c r="M21" s="134" t="s">
        <v>4</v>
      </c>
      <c r="O21" s="166"/>
      <c r="P21" s="160">
        <f>ROUND((J21/L21)-1,3)</f>
        <v>1.4E-2</v>
      </c>
      <c r="Q21" s="134">
        <f>+J21-L21</f>
        <v>21460649</v>
      </c>
      <c r="T21" s="134"/>
    </row>
    <row r="22" spans="1:20" ht="15" customHeight="1">
      <c r="B22" s="149" t="s">
        <v>24</v>
      </c>
      <c r="C22" s="150" t="s">
        <v>8</v>
      </c>
      <c r="D22" s="180">
        <f>+J32</f>
        <v>162730026</v>
      </c>
      <c r="E22" s="180">
        <f>+L32</f>
        <v>293836545</v>
      </c>
      <c r="F22" s="181">
        <f>+M32</f>
        <v>-0.44619999999999999</v>
      </c>
      <c r="H22" s="129" t="s">
        <v>20</v>
      </c>
      <c r="J22" s="134"/>
      <c r="K22" s="134"/>
      <c r="L22" s="134"/>
      <c r="M22" s="134"/>
      <c r="O22" s="166"/>
      <c r="P22" s="186"/>
    </row>
    <row r="23" spans="1:20" ht="15" customHeight="1">
      <c r="B23" s="149" t="s">
        <v>25</v>
      </c>
      <c r="C23" s="150" t="s">
        <v>8</v>
      </c>
      <c r="D23" s="180">
        <f>+C69</f>
        <v>76507078</v>
      </c>
      <c r="E23" s="180">
        <f>+D69</f>
        <v>74422782</v>
      </c>
      <c r="F23" s="181">
        <f>+E69</f>
        <v>133390421</v>
      </c>
      <c r="H23" s="155" t="s">
        <v>21</v>
      </c>
      <c r="J23" s="392">
        <f>Anualizados!C13</f>
        <v>221571007</v>
      </c>
      <c r="K23" s="157">
        <f>ROUND(J23/J24,2)</f>
        <v>4.57</v>
      </c>
      <c r="L23" s="156">
        <f>+F20-F21</f>
        <v>216150985</v>
      </c>
      <c r="M23" s="157">
        <f>ROUND(L23/L24,2)</f>
        <v>4.42</v>
      </c>
      <c r="N23" s="187"/>
      <c r="O23" s="159">
        <f>ROUND((K23/M23)-1,4)</f>
        <v>3.39E-2</v>
      </c>
      <c r="P23" s="160">
        <f>ROUND((J23/L23)-1,3)</f>
        <v>2.5000000000000001E-2</v>
      </c>
      <c r="Q23" s="134">
        <f>+J23-L23</f>
        <v>5420022</v>
      </c>
    </row>
    <row r="24" spans="1:20" ht="15" customHeight="1" thickBot="1">
      <c r="B24" s="149" t="s">
        <v>26</v>
      </c>
      <c r="C24" s="150" t="s">
        <v>8</v>
      </c>
      <c r="D24" s="180">
        <f>+C65</f>
        <v>-21712759</v>
      </c>
      <c r="E24" s="180">
        <f>+D65</f>
        <v>-18044579</v>
      </c>
      <c r="F24" s="181">
        <f>+E65</f>
        <v>-33909237</v>
      </c>
      <c r="H24" s="130" t="s">
        <v>23</v>
      </c>
      <c r="J24" s="134">
        <f>Anualizados!C20</f>
        <v>48516933</v>
      </c>
      <c r="K24" s="188"/>
      <c r="L24" s="134">
        <f>-E58</f>
        <v>48849432</v>
      </c>
      <c r="M24" s="188"/>
      <c r="O24" s="134"/>
      <c r="P24" s="189">
        <f>ROUND((J24/L24)-1,3)</f>
        <v>-7.0000000000000001E-3</v>
      </c>
      <c r="Q24" s="134">
        <f>+J24-L24</f>
        <v>-332499</v>
      </c>
      <c r="T24" s="175"/>
    </row>
    <row r="25" spans="1:20" ht="15" customHeight="1" thickBot="1">
      <c r="B25" s="190" t="s">
        <v>61</v>
      </c>
      <c r="C25" s="191" t="s">
        <v>8</v>
      </c>
      <c r="D25" s="192">
        <f>+C53</f>
        <v>-40578598</v>
      </c>
      <c r="E25" s="192">
        <f>+D53</f>
        <v>-37304527</v>
      </c>
      <c r="F25" s="193">
        <f>+E53</f>
        <v>-77689350</v>
      </c>
      <c r="H25" s="194" t="s">
        <v>27</v>
      </c>
      <c r="I25" s="195"/>
      <c r="J25" s="196"/>
      <c r="K25" s="196"/>
      <c r="L25" s="196"/>
      <c r="M25" s="196"/>
      <c r="N25" s="195"/>
      <c r="O25" s="197"/>
      <c r="P25" s="195"/>
    </row>
    <row r="26" spans="1:20" ht="15" customHeight="1" thickBot="1">
      <c r="C26" s="141"/>
      <c r="D26" s="198"/>
      <c r="E26" s="199"/>
      <c r="F26" s="198"/>
      <c r="H26" s="195" t="s">
        <v>57</v>
      </c>
      <c r="I26" s="195" t="s">
        <v>10</v>
      </c>
      <c r="J26" s="200">
        <f>+D23</f>
        <v>76507078</v>
      </c>
      <c r="K26" s="196"/>
      <c r="L26" s="200">
        <f>+F23</f>
        <v>133390421</v>
      </c>
      <c r="M26" s="196"/>
      <c r="N26" s="195"/>
      <c r="O26" s="197"/>
      <c r="P26" s="195">
        <v>1000</v>
      </c>
      <c r="R26" s="166"/>
    </row>
    <row r="27" spans="1:20" ht="15" customHeight="1">
      <c r="A27" s="201"/>
      <c r="B27" s="136" t="s">
        <v>74</v>
      </c>
      <c r="C27" s="137"/>
      <c r="D27" s="178" t="str">
        <f>+$D$4</f>
        <v>Jun-24</v>
      </c>
      <c r="E27" s="178" t="str">
        <f>+E16</f>
        <v>Jun-23</v>
      </c>
      <c r="F27" s="178" t="str">
        <f>+F16</f>
        <v>Dic-23</v>
      </c>
      <c r="H27" s="195" t="s">
        <v>29</v>
      </c>
      <c r="I27" s="195" t="s">
        <v>10</v>
      </c>
      <c r="J27" s="200">
        <f>-D24</f>
        <v>21712759</v>
      </c>
      <c r="K27" s="196"/>
      <c r="L27" s="200">
        <f>-F24</f>
        <v>33909237</v>
      </c>
      <c r="M27" s="196"/>
      <c r="N27" s="195"/>
      <c r="O27" s="197"/>
      <c r="P27" s="195"/>
      <c r="Q27" s="175"/>
      <c r="R27" s="166"/>
      <c r="T27" s="175"/>
    </row>
    <row r="28" spans="1:20" ht="15" customHeight="1">
      <c r="B28" s="149" t="s">
        <v>52</v>
      </c>
      <c r="C28" s="150" t="s">
        <v>8</v>
      </c>
      <c r="D28" s="202">
        <f>+Flujo!D23</f>
        <v>149518998</v>
      </c>
      <c r="E28" s="202">
        <f>+Flujo!E23</f>
        <v>132496700</v>
      </c>
      <c r="F28" s="203">
        <f>+[2]Cálculos!$D$28</f>
        <v>229397451</v>
      </c>
      <c r="H28" s="195" t="s">
        <v>30</v>
      </c>
      <c r="I28" s="195" t="s">
        <v>10</v>
      </c>
      <c r="J28" s="200">
        <f>-D21</f>
        <v>23932819</v>
      </c>
      <c r="K28" s="196"/>
      <c r="L28" s="200">
        <f>-F21</f>
        <v>48849432</v>
      </c>
      <c r="M28" s="196"/>
      <c r="N28" s="196"/>
      <c r="O28" s="197"/>
      <c r="P28" s="196"/>
      <c r="Q28" s="134"/>
      <c r="R28" s="166"/>
      <c r="T28" s="134"/>
    </row>
    <row r="29" spans="1:20" ht="15" customHeight="1">
      <c r="A29" s="204"/>
      <c r="B29" s="149" t="s">
        <v>53</v>
      </c>
      <c r="C29" s="150" t="s">
        <v>8</v>
      </c>
      <c r="D29" s="202">
        <f>+Flujo!D48</f>
        <v>-97503654</v>
      </c>
      <c r="E29" s="202">
        <f>+Flujo!E48</f>
        <v>-64753007</v>
      </c>
      <c r="F29" s="203">
        <f>+[2]Cálculos!$D$29</f>
        <v>-150000484</v>
      </c>
      <c r="H29" s="195" t="s">
        <v>62</v>
      </c>
      <c r="I29" s="195" t="s">
        <v>10</v>
      </c>
      <c r="J29" s="200">
        <f>-D25</f>
        <v>40578598</v>
      </c>
      <c r="K29" s="196"/>
      <c r="L29" s="200">
        <f>-F25</f>
        <v>77689350</v>
      </c>
      <c r="M29" s="196"/>
      <c r="N29" s="195"/>
      <c r="O29" s="197"/>
      <c r="P29" s="195"/>
      <c r="R29" s="166"/>
    </row>
    <row r="30" spans="1:20" ht="15" customHeight="1">
      <c r="A30" s="205"/>
      <c r="B30" s="149" t="s">
        <v>54</v>
      </c>
      <c r="C30" s="150" t="s">
        <v>8</v>
      </c>
      <c r="D30" s="202">
        <f>+Flujo!D65</f>
        <v>-53411837</v>
      </c>
      <c r="E30" s="202">
        <f>+Flujo!E65</f>
        <v>-81912844</v>
      </c>
      <c r="F30" s="203">
        <f>+[2]Cálculos!$D$30</f>
        <v>-149575627</v>
      </c>
      <c r="H30" s="195" t="s">
        <v>63</v>
      </c>
      <c r="I30" s="195" t="s">
        <v>10</v>
      </c>
      <c r="J30" s="200">
        <f>-C67</f>
        <v>-1228</v>
      </c>
      <c r="K30" s="195"/>
      <c r="L30" s="200">
        <f>-E67</f>
        <v>-1895</v>
      </c>
      <c r="M30" s="195"/>
      <c r="N30" s="195"/>
      <c r="O30" s="197"/>
      <c r="P30" s="195"/>
      <c r="Q30" s="206"/>
      <c r="R30" s="166"/>
      <c r="T30" s="206"/>
    </row>
    <row r="31" spans="1:20" ht="15" customHeight="1">
      <c r="A31" s="205"/>
      <c r="B31" s="143" t="s">
        <v>28</v>
      </c>
      <c r="C31" s="150" t="s">
        <v>8</v>
      </c>
      <c r="D31" s="207">
        <f>SUM(D28:D30)</f>
        <v>-1396493</v>
      </c>
      <c r="E31" s="207">
        <f>SUM(E28:E30)</f>
        <v>-14169151</v>
      </c>
      <c r="F31" s="208">
        <f>SUM(F28:F30)</f>
        <v>-70178660</v>
      </c>
      <c r="H31" s="195" t="s">
        <v>33</v>
      </c>
      <c r="I31" s="195" t="s">
        <v>10</v>
      </c>
      <c r="J31" s="200">
        <v>0</v>
      </c>
      <c r="K31" s="196"/>
      <c r="L31" s="200">
        <v>0</v>
      </c>
      <c r="M31" s="196"/>
      <c r="N31" s="195"/>
      <c r="O31" s="197"/>
      <c r="P31" s="195"/>
      <c r="R31" s="166"/>
    </row>
    <row r="32" spans="1:20" ht="15" customHeight="1">
      <c r="A32" s="205"/>
      <c r="B32" s="149" t="s">
        <v>31</v>
      </c>
      <c r="C32" s="150" t="s">
        <v>8</v>
      </c>
      <c r="D32" s="202">
        <f>+Flujo!D70</f>
        <v>109156681</v>
      </c>
      <c r="E32" s="202">
        <f>+Flujo!E70</f>
        <v>179335341</v>
      </c>
      <c r="F32" s="203">
        <f>+[2]Cálculos!$D$32</f>
        <v>179335341</v>
      </c>
      <c r="H32" s="209" t="s">
        <v>24</v>
      </c>
      <c r="I32" s="195"/>
      <c r="J32" s="210">
        <f>SUM(J26:J31)</f>
        <v>162730026</v>
      </c>
      <c r="K32" s="196"/>
      <c r="L32" s="210">
        <f>SUM(L26:L31)</f>
        <v>293836545</v>
      </c>
      <c r="M32" s="211">
        <f>ROUND((J32/L32)-1,4)</f>
        <v>-0.44619999999999999</v>
      </c>
      <c r="N32" s="196"/>
      <c r="O32" s="212"/>
      <c r="P32" s="195"/>
      <c r="R32" s="166"/>
    </row>
    <row r="33" spans="2:20" ht="15" customHeight="1" thickBot="1">
      <c r="B33" s="169" t="s">
        <v>32</v>
      </c>
      <c r="C33" s="213" t="s">
        <v>8</v>
      </c>
      <c r="D33" s="214">
        <f>+D32+D31</f>
        <v>107760188</v>
      </c>
      <c r="E33" s="214">
        <f>+E32+E31</f>
        <v>165166190</v>
      </c>
      <c r="F33" s="215">
        <f>+F32+F31</f>
        <v>109156681</v>
      </c>
      <c r="H33" s="209"/>
      <c r="I33" s="195"/>
      <c r="J33" s="196"/>
      <c r="K33" s="196"/>
      <c r="L33" s="196"/>
      <c r="M33" s="196"/>
      <c r="N33" s="196"/>
      <c r="O33" s="197"/>
      <c r="P33" s="195"/>
      <c r="Q33" s="216"/>
      <c r="R33" s="166"/>
      <c r="T33" s="216"/>
    </row>
    <row r="34" spans="2:20" ht="15" customHeight="1" thickBot="1">
      <c r="D34" s="444">
        <f>+D33-Balance!D6</f>
        <v>0</v>
      </c>
      <c r="E34" s="1"/>
      <c r="F34" s="444">
        <f>+F33-Balance!E6</f>
        <v>0</v>
      </c>
      <c r="H34" s="209"/>
      <c r="I34" s="195"/>
      <c r="J34" s="196"/>
      <c r="K34" s="217"/>
      <c r="L34" s="196"/>
      <c r="M34" s="217"/>
      <c r="N34" s="196"/>
      <c r="O34" s="212"/>
      <c r="P34" s="218"/>
      <c r="Q34" s="134"/>
      <c r="R34" s="166"/>
      <c r="T34" s="134"/>
    </row>
    <row r="35" spans="2:20" ht="15" customHeight="1">
      <c r="B35" s="219" t="s">
        <v>98</v>
      </c>
      <c r="C35" s="320" t="s">
        <v>393</v>
      </c>
      <c r="D35" s="220">
        <f>+Balance!D63</f>
        <v>874430743</v>
      </c>
      <c r="E35" s="166"/>
      <c r="F35" s="166"/>
      <c r="H35" s="209" t="s">
        <v>58</v>
      </c>
      <c r="I35" s="195"/>
      <c r="J35" s="196">
        <f>+D18</f>
        <v>339686610</v>
      </c>
      <c r="K35" s="196"/>
      <c r="L35" s="196">
        <f>+E18</f>
        <v>336809270</v>
      </c>
      <c r="M35" s="196"/>
      <c r="N35" s="196"/>
      <c r="O35" s="195"/>
      <c r="P35" s="218">
        <f>ROUND((J35/L35)-1,4)</f>
        <v>8.5000000000000006E-3</v>
      </c>
      <c r="R35" s="166"/>
    </row>
    <row r="36" spans="2:20" ht="15" customHeight="1" thickBot="1">
      <c r="B36" s="221" t="s">
        <v>288</v>
      </c>
      <c r="C36" s="443" t="str">
        <f>+C35</f>
        <v>30-06-2024</v>
      </c>
      <c r="D36" s="223">
        <f>+Balance!D28</f>
        <v>2433133155</v>
      </c>
      <c r="E36" s="166"/>
      <c r="F36" s="166"/>
      <c r="H36" s="129"/>
      <c r="J36" s="224"/>
      <c r="K36" s="134"/>
      <c r="L36" s="224"/>
      <c r="M36" s="134"/>
      <c r="N36" s="134"/>
      <c r="P36" s="134"/>
      <c r="R36" s="166"/>
    </row>
    <row r="37" spans="2:20" ht="15" customHeight="1" thickBot="1">
      <c r="B37" s="221"/>
      <c r="C37" s="222"/>
      <c r="D37" s="223"/>
      <c r="E37" s="166"/>
      <c r="F37" s="166"/>
      <c r="H37" s="147" t="s">
        <v>34</v>
      </c>
      <c r="J37" s="134"/>
      <c r="K37" s="134"/>
      <c r="L37" s="134"/>
      <c r="M37" s="134"/>
      <c r="P37" s="134"/>
      <c r="Q37" s="175"/>
      <c r="R37" s="175" t="s">
        <v>4</v>
      </c>
      <c r="T37" s="175"/>
    </row>
    <row r="38" spans="2:20" ht="15" customHeight="1">
      <c r="B38" s="221"/>
      <c r="C38" s="222"/>
      <c r="D38" s="225"/>
      <c r="E38" s="166"/>
      <c r="F38" s="166"/>
      <c r="H38" s="129" t="s">
        <v>35</v>
      </c>
      <c r="J38" s="134"/>
      <c r="K38" s="134"/>
      <c r="L38" s="134"/>
      <c r="M38" s="134"/>
      <c r="O38" s="226"/>
      <c r="P38" s="130"/>
      <c r="R38" s="166"/>
    </row>
    <row r="39" spans="2:20" ht="15" customHeight="1" thickBot="1">
      <c r="B39" s="227"/>
      <c r="C39" s="228"/>
      <c r="D39" s="229"/>
      <c r="H39" s="155" t="s">
        <v>36</v>
      </c>
      <c r="I39" s="130" t="s">
        <v>10</v>
      </c>
      <c r="J39" s="156">
        <f>Anualizados!C6</f>
        <v>135474717</v>
      </c>
      <c r="K39" s="174">
        <f>ROUND(J39/J40,4)*100</f>
        <v>15.49</v>
      </c>
      <c r="L39" s="156">
        <f>+E69</f>
        <v>133390421</v>
      </c>
      <c r="M39" s="174">
        <f>ROUND(L39/L40,4)*100</f>
        <v>15.47</v>
      </c>
      <c r="N39" s="175"/>
      <c r="O39" s="159">
        <f>ROUND((K39/M39)-1,4)</f>
        <v>1.2999999999999999E-3</v>
      </c>
      <c r="P39" s="160">
        <f>ROUND((J39/L39)-1,3)</f>
        <v>1.6E-2</v>
      </c>
      <c r="Q39" s="134">
        <f>+J39-L39</f>
        <v>2084296</v>
      </c>
      <c r="R39" s="230"/>
    </row>
    <row r="40" spans="2:20" ht="15" customHeight="1" thickBot="1">
      <c r="H40" s="130" t="s">
        <v>90</v>
      </c>
      <c r="I40" s="130" t="s">
        <v>4</v>
      </c>
      <c r="J40" s="134">
        <f>ROUND((D13+D35)/2,0)</f>
        <v>874430743</v>
      </c>
      <c r="K40" s="134"/>
      <c r="L40" s="134">
        <f>ROUND((E13+F13)/2,0)</f>
        <v>862484678</v>
      </c>
      <c r="M40" s="134"/>
      <c r="O40" s="230"/>
      <c r="P40" s="160">
        <f>ROUND((J40/L40)-1,3)</f>
        <v>1.4E-2</v>
      </c>
      <c r="Q40" s="134">
        <f>+J40-L40</f>
        <v>11946065</v>
      </c>
      <c r="R40" s="166"/>
    </row>
    <row r="41" spans="2:20" ht="15" customHeight="1">
      <c r="B41" s="387" t="s">
        <v>278</v>
      </c>
      <c r="C41" s="389" t="s">
        <v>394</v>
      </c>
      <c r="D41" s="388" t="s">
        <v>359</v>
      </c>
      <c r="H41" s="129" t="s">
        <v>37</v>
      </c>
      <c r="J41" s="134"/>
      <c r="K41" s="134"/>
      <c r="L41" s="134"/>
      <c r="M41" s="134"/>
      <c r="O41" s="226"/>
      <c r="P41" s="231"/>
      <c r="Q41" s="230"/>
      <c r="R41" s="166"/>
    </row>
    <row r="42" spans="2:20" ht="15" customHeight="1">
      <c r="B42" s="383"/>
      <c r="C42" s="390"/>
      <c r="D42" s="384"/>
      <c r="H42" s="155" t="s">
        <v>36</v>
      </c>
      <c r="I42" s="130" t="s">
        <v>10</v>
      </c>
      <c r="J42" s="156">
        <f>+J39</f>
        <v>135474717</v>
      </c>
      <c r="K42" s="174">
        <f>ROUND(J42/J43,4)*100</f>
        <v>5.57</v>
      </c>
      <c r="L42" s="156">
        <f>+L39</f>
        <v>133390421</v>
      </c>
      <c r="M42" s="174">
        <f>ROUND(L42/L43,4)*100</f>
        <v>5.55</v>
      </c>
      <c r="N42" s="175"/>
      <c r="O42" s="159">
        <f>ROUND((K42/M42)-1,4)</f>
        <v>3.5999999999999999E-3</v>
      </c>
      <c r="P42" s="160">
        <f>ROUND((J42/L42)-1,3)</f>
        <v>1.6E-2</v>
      </c>
      <c r="Q42" s="134">
        <f>+J42-L42</f>
        <v>2084296</v>
      </c>
    </row>
    <row r="43" spans="2:20" ht="15" customHeight="1">
      <c r="B43" s="383" t="s">
        <v>399</v>
      </c>
      <c r="C43" s="390">
        <v>14.46954</v>
      </c>
      <c r="D43" s="384"/>
      <c r="H43" s="130" t="s">
        <v>38</v>
      </c>
      <c r="I43" s="130" t="s">
        <v>4</v>
      </c>
      <c r="J43" s="232">
        <f>ROUND((+D8+D36)/2,0)</f>
        <v>2433133155</v>
      </c>
      <c r="K43" s="134"/>
      <c r="L43" s="232">
        <f>ROUND((E8+F8)/2,0)</f>
        <v>2401348645</v>
      </c>
      <c r="M43" s="134"/>
      <c r="N43" s="188"/>
      <c r="O43" s="230"/>
      <c r="P43" s="160">
        <f>ROUND((J43/L43)-1,3)</f>
        <v>1.2999999999999999E-2</v>
      </c>
      <c r="Q43" s="134">
        <f>+J43-L43</f>
        <v>31784510</v>
      </c>
    </row>
    <row r="44" spans="2:20" ht="15" customHeight="1">
      <c r="B44" s="383" t="s">
        <v>370</v>
      </c>
      <c r="C44" s="390">
        <v>6.5370499999999998</v>
      </c>
      <c r="D44" s="384">
        <f>+C44</f>
        <v>6.5370499999999998</v>
      </c>
      <c r="H44" s="129" t="s">
        <v>39</v>
      </c>
      <c r="J44" s="134"/>
      <c r="K44" s="134"/>
      <c r="L44" s="134"/>
      <c r="M44" s="134"/>
      <c r="P44" s="233"/>
    </row>
    <row r="45" spans="2:20" ht="15" customHeight="1">
      <c r="B45" s="383" t="s">
        <v>376</v>
      </c>
      <c r="C45" s="390"/>
      <c r="D45" s="384">
        <v>8.2119599999999995</v>
      </c>
      <c r="H45" s="155" t="s">
        <v>40</v>
      </c>
      <c r="I45" s="130" t="s">
        <v>10</v>
      </c>
      <c r="J45" s="156">
        <f>+J42*1000</f>
        <v>135474717000</v>
      </c>
      <c r="K45" s="157">
        <f>ROUND(J45/J46,2)</f>
        <v>22.14</v>
      </c>
      <c r="L45" s="156">
        <f>+L39*1000</f>
        <v>133390421000</v>
      </c>
      <c r="M45" s="157">
        <f>ROUND(L45/L46,2)</f>
        <v>21.8</v>
      </c>
      <c r="N45" s="206"/>
      <c r="O45" s="159">
        <f>ROUND((K45/M45)-1,4)</f>
        <v>1.5599999999999999E-2</v>
      </c>
      <c r="P45" s="160">
        <f>ROUND((J45/L45)-1,3)</f>
        <v>1.6E-2</v>
      </c>
    </row>
    <row r="46" spans="2:20" ht="15" customHeight="1" thickBot="1">
      <c r="B46" s="385"/>
      <c r="C46" s="391">
        <f>SUM(C42:C45)</f>
        <v>21.006589999999999</v>
      </c>
      <c r="D46" s="386">
        <f>SUM(D42:D45)</f>
        <v>14.749009999999998</v>
      </c>
      <c r="E46" s="234"/>
      <c r="H46" s="130" t="s">
        <v>41</v>
      </c>
      <c r="J46" s="235">
        <v>6118965160</v>
      </c>
      <c r="K46" s="134"/>
      <c r="L46" s="235">
        <v>6118965160</v>
      </c>
      <c r="M46" s="134"/>
      <c r="P46" s="160">
        <f>ROUND((J46/L46)-1,3)</f>
        <v>0</v>
      </c>
    </row>
    <row r="47" spans="2:20" ht="15" customHeight="1">
      <c r="E47" s="234"/>
      <c r="M47" s="134"/>
      <c r="P47" s="160"/>
    </row>
    <row r="48" spans="2:20" ht="15" customHeight="1" thickBot="1">
      <c r="C48" s="236"/>
      <c r="D48" s="236"/>
      <c r="E48" s="236"/>
      <c r="H48" s="129" t="s">
        <v>42</v>
      </c>
      <c r="J48" s="134"/>
      <c r="K48" s="134"/>
      <c r="L48" s="237"/>
      <c r="M48" s="134"/>
      <c r="O48" s="226"/>
    </row>
    <row r="49" spans="2:16" ht="15" customHeight="1">
      <c r="B49" s="393" t="s">
        <v>180</v>
      </c>
      <c r="C49" s="394" t="str">
        <f>+$D$4</f>
        <v>Jun-24</v>
      </c>
      <c r="D49" s="394" t="str">
        <f>+E16</f>
        <v>Jun-23</v>
      </c>
      <c r="E49" s="395" t="str">
        <f>+$F$16</f>
        <v>Dic-23</v>
      </c>
      <c r="H49" s="155" t="s">
        <v>43</v>
      </c>
      <c r="I49" s="130" t="s">
        <v>10</v>
      </c>
      <c r="J49" s="238">
        <f>+C46</f>
        <v>21.006589999999999</v>
      </c>
      <c r="K49" s="174">
        <f>ROUND(J49/J50,4)*100</f>
        <v>8.17</v>
      </c>
      <c r="L49" s="239">
        <f>+D46</f>
        <v>14.749009999999998</v>
      </c>
      <c r="M49" s="174">
        <f>ROUND(L49/L50,4)*100</f>
        <v>5.18</v>
      </c>
      <c r="N49" s="216"/>
      <c r="O49" s="159">
        <f>ROUND((K49/M49)-1,4)</f>
        <v>0.57720000000000005</v>
      </c>
      <c r="P49" s="160">
        <f>ROUND((J49/L49)-1,3)</f>
        <v>0.42399999999999999</v>
      </c>
    </row>
    <row r="50" spans="2:16" ht="15" customHeight="1">
      <c r="B50" s="396" t="s">
        <v>99</v>
      </c>
      <c r="C50" s="180">
        <f>+Resultado!D5</f>
        <v>339686610</v>
      </c>
      <c r="D50" s="180">
        <f>+Resultado!E5</f>
        <v>336809270</v>
      </c>
      <c r="E50" s="397">
        <f>+[2]Cálculos!C50</f>
        <v>640855854</v>
      </c>
      <c r="F50" s="240"/>
      <c r="H50" s="130" t="s">
        <v>44</v>
      </c>
      <c r="J50" s="241">
        <v>257</v>
      </c>
      <c r="K50" s="188" t="s">
        <v>4</v>
      </c>
      <c r="L50" s="241">
        <v>284.60000000000002</v>
      </c>
      <c r="M50" s="188" t="s">
        <v>4</v>
      </c>
      <c r="N50" s="242"/>
      <c r="O50" s="230"/>
      <c r="P50" s="160">
        <f>ROUND((J50/L50)-1,3)</f>
        <v>-9.7000000000000003E-2</v>
      </c>
    </row>
    <row r="51" spans="2:16" ht="15" customHeight="1">
      <c r="B51" s="396" t="s">
        <v>100</v>
      </c>
      <c r="C51" s="180">
        <f>+Resultado!D6</f>
        <v>-41170430</v>
      </c>
      <c r="D51" s="180">
        <f>+Resultado!E6</f>
        <v>-48244002</v>
      </c>
      <c r="E51" s="397">
        <f>+[2]Cálculos!C51</f>
        <v>-85361668</v>
      </c>
      <c r="F51" s="240"/>
      <c r="P51" s="233"/>
    </row>
    <row r="52" spans="2:16" ht="15" customHeight="1">
      <c r="B52" s="396" t="s">
        <v>91</v>
      </c>
      <c r="C52" s="180">
        <f>+Resultado!D7</f>
        <v>-39964877</v>
      </c>
      <c r="D52" s="180">
        <f>+Resultado!E7</f>
        <v>-36713649</v>
      </c>
      <c r="E52" s="397">
        <f>+[2]Cálculos!C52</f>
        <v>-76458923</v>
      </c>
      <c r="F52" s="240"/>
      <c r="J52" s="236"/>
      <c r="M52" s="243"/>
    </row>
    <row r="53" spans="2:16" ht="15" customHeight="1">
      <c r="B53" s="396" t="s">
        <v>92</v>
      </c>
      <c r="C53" s="180">
        <f>+Resultado!D8</f>
        <v>-40578598</v>
      </c>
      <c r="D53" s="180">
        <f>+Resultado!E8</f>
        <v>-37304527</v>
      </c>
      <c r="E53" s="397">
        <f>+[2]Cálculos!C53</f>
        <v>-77689350</v>
      </c>
      <c r="F53" s="240"/>
      <c r="J53" s="236"/>
    </row>
    <row r="54" spans="2:16" ht="15" customHeight="1">
      <c r="B54" s="396" t="s">
        <v>101</v>
      </c>
      <c r="C54" s="180">
        <f>+Resultado!D9</f>
        <v>-6587500</v>
      </c>
      <c r="D54" s="180">
        <f>+Resultado!E9</f>
        <v>-8186340</v>
      </c>
      <c r="E54" s="397">
        <f>+[2]Cálculos!C54</f>
        <v>-12316346</v>
      </c>
      <c r="F54" s="240"/>
      <c r="P54" s="244"/>
    </row>
    <row r="55" spans="2:16" ht="15" customHeight="1">
      <c r="B55" s="396" t="s">
        <v>102</v>
      </c>
      <c r="C55" s="180">
        <f>+Resultado!D10</f>
        <v>-75701335</v>
      </c>
      <c r="D55" s="180">
        <f>+Resultado!E10</f>
        <v>-72127713</v>
      </c>
      <c r="E55" s="397">
        <f>+[2]Cálculos!C55</f>
        <v>-148430974</v>
      </c>
      <c r="F55" s="240"/>
    </row>
    <row r="56" spans="2:16" ht="15" customHeight="1">
      <c r="B56" s="398" t="s">
        <v>76</v>
      </c>
      <c r="C56" s="184">
        <f>SUM(C50:C55)</f>
        <v>135683870</v>
      </c>
      <c r="D56" s="184">
        <f>SUM(D50:D55)</f>
        <v>134233039</v>
      </c>
      <c r="E56" s="401">
        <f>SUM(E50:E55)</f>
        <v>240598593</v>
      </c>
      <c r="F56" s="240"/>
      <c r="H56" s="245"/>
      <c r="I56" s="246"/>
      <c r="J56" s="247"/>
      <c r="K56" s="247"/>
      <c r="L56" s="247"/>
      <c r="M56" s="247"/>
      <c r="O56" s="248"/>
      <c r="P56" s="249"/>
    </row>
    <row r="57" spans="2:16" ht="15" customHeight="1">
      <c r="B57" s="396" t="s">
        <v>77</v>
      </c>
      <c r="C57" s="180">
        <f>+Resultado!D13</f>
        <v>4965810</v>
      </c>
      <c r="D57" s="180">
        <f>+Resultado!E13</f>
        <v>10652158</v>
      </c>
      <c r="E57" s="397">
        <f>+[2]Cálculos!C57</f>
        <v>15927907</v>
      </c>
      <c r="F57" s="240"/>
      <c r="H57" s="245"/>
      <c r="I57" s="246"/>
      <c r="J57" s="247"/>
      <c r="K57" s="247"/>
      <c r="L57" s="247"/>
      <c r="M57" s="247"/>
      <c r="O57" s="250"/>
    </row>
    <row r="58" spans="2:16" ht="15" customHeight="1">
      <c r="B58" s="396" t="s">
        <v>78</v>
      </c>
      <c r="C58" s="180">
        <f>+Resultado!D14</f>
        <v>-23932819</v>
      </c>
      <c r="D58" s="180">
        <f>+Resultado!E14</f>
        <v>-24265318</v>
      </c>
      <c r="E58" s="397">
        <f>+[2]Cálculos!C58</f>
        <v>-48849432</v>
      </c>
      <c r="F58" s="240"/>
      <c r="H58" s="246"/>
      <c r="I58" s="246"/>
      <c r="J58" s="247"/>
      <c r="K58" s="251"/>
      <c r="L58" s="247"/>
      <c r="M58" s="251"/>
      <c r="N58" s="216"/>
      <c r="O58" s="252"/>
      <c r="P58" s="253"/>
    </row>
    <row r="59" spans="2:16" ht="15" customHeight="1">
      <c r="B59" s="396" t="s">
        <v>79</v>
      </c>
      <c r="C59" s="180">
        <f>+Resultado!D15</f>
        <v>466832</v>
      </c>
      <c r="D59" s="180">
        <f>+Resultado!E15</f>
        <v>501329</v>
      </c>
      <c r="E59" s="397">
        <f>+[2]Cálculos!C59</f>
        <v>2645936</v>
      </c>
      <c r="F59" s="240"/>
      <c r="H59" s="246"/>
      <c r="I59" s="246"/>
      <c r="J59" s="247"/>
      <c r="K59" s="254"/>
      <c r="L59" s="247"/>
      <c r="M59" s="254"/>
      <c r="O59" s="250"/>
      <c r="P59" s="253"/>
    </row>
    <row r="60" spans="2:16" ht="15" customHeight="1">
      <c r="B60" s="396" t="s">
        <v>80</v>
      </c>
      <c r="C60" s="180">
        <f>+Resultado!D16</f>
        <v>-21464380</v>
      </c>
      <c r="D60" s="180">
        <f>+Resultado!E16</f>
        <v>-26761347</v>
      </c>
      <c r="E60" s="397">
        <f>+[2]Cálculos!C60</f>
        <v>-46357996</v>
      </c>
      <c r="F60" s="240"/>
      <c r="H60" s="245"/>
      <c r="I60" s="246"/>
      <c r="J60" s="247"/>
      <c r="K60" s="247"/>
      <c r="L60" s="247"/>
      <c r="M60" s="247"/>
      <c r="O60" s="250"/>
    </row>
    <row r="61" spans="2:16" ht="15" customHeight="1">
      <c r="B61" s="398" t="s">
        <v>81</v>
      </c>
      <c r="C61" s="184">
        <f>SUM(C57:C60)</f>
        <v>-39964557</v>
      </c>
      <c r="D61" s="184">
        <f>SUM(D57:D60)</f>
        <v>-39873178</v>
      </c>
      <c r="E61" s="401">
        <f>SUM(E57:E60)</f>
        <v>-76633585</v>
      </c>
      <c r="F61" s="240"/>
      <c r="H61" s="246"/>
      <c r="I61" s="255"/>
      <c r="J61" s="247"/>
      <c r="K61" s="251"/>
      <c r="L61" s="247"/>
      <c r="M61" s="251"/>
      <c r="N61" s="256"/>
      <c r="O61" s="252"/>
      <c r="P61" s="253"/>
    </row>
    <row r="62" spans="2:16" ht="15" customHeight="1">
      <c r="B62" s="396" t="s">
        <v>87</v>
      </c>
      <c r="C62" s="180">
        <f>+Resultado!D11</f>
        <v>2501752</v>
      </c>
      <c r="D62" s="180">
        <f>+Resultado!E11</f>
        <v>-1891317</v>
      </c>
      <c r="E62" s="397">
        <f>+[2]Cálculos!C62</f>
        <v>3336545</v>
      </c>
      <c r="F62" s="240"/>
      <c r="H62" s="246"/>
      <c r="I62" s="246"/>
      <c r="J62" s="247"/>
      <c r="K62" s="254"/>
      <c r="L62" s="247"/>
      <c r="M62" s="254"/>
      <c r="N62" s="134"/>
      <c r="O62" s="250"/>
      <c r="P62" s="253"/>
    </row>
    <row r="63" spans="2:16" ht="15" customHeight="1">
      <c r="B63" s="396" t="s">
        <v>82</v>
      </c>
      <c r="C63" s="180"/>
      <c r="D63" s="180"/>
      <c r="E63" s="397"/>
      <c r="F63" s="240"/>
      <c r="H63" s="129"/>
      <c r="J63" s="134"/>
      <c r="K63" s="134"/>
      <c r="L63" s="134"/>
      <c r="M63" s="134"/>
      <c r="O63" s="250"/>
    </row>
    <row r="64" spans="2:16" ht="15" customHeight="1">
      <c r="B64" s="398" t="s">
        <v>83</v>
      </c>
      <c r="C64" s="184">
        <f>+C56+C61+C62+C63</f>
        <v>98221065</v>
      </c>
      <c r="D64" s="184">
        <f>+D56+D61+D62+D63</f>
        <v>92468544</v>
      </c>
      <c r="E64" s="401">
        <f>+E56+E61+E62+E63</f>
        <v>167301553</v>
      </c>
      <c r="F64" s="240"/>
      <c r="L64" s="257"/>
    </row>
    <row r="65" spans="2:13" ht="15" customHeight="1">
      <c r="B65" s="396" t="s">
        <v>84</v>
      </c>
      <c r="C65" s="180">
        <f>+Resultado!D19</f>
        <v>-21712759</v>
      </c>
      <c r="D65" s="180">
        <f>+Resultado!E19</f>
        <v>-18044579</v>
      </c>
      <c r="E65" s="397">
        <f>+[2]Cálculos!C65</f>
        <v>-33909237</v>
      </c>
      <c r="F65" s="240"/>
      <c r="K65" s="258"/>
      <c r="M65" s="258"/>
    </row>
    <row r="66" spans="2:13" ht="15" customHeight="1">
      <c r="B66" s="396" t="s">
        <v>307</v>
      </c>
      <c r="C66" s="180">
        <f>+Resultado!D21</f>
        <v>0</v>
      </c>
      <c r="D66" s="180">
        <f>+Resultado!E21</f>
        <v>0</v>
      </c>
      <c r="E66" s="397">
        <f>+[2]Cálculos!C66</f>
        <v>0</v>
      </c>
      <c r="F66" s="240"/>
      <c r="K66" s="258"/>
      <c r="M66" s="258"/>
    </row>
    <row r="67" spans="2:13" ht="15" customHeight="1">
      <c r="B67" s="396" t="s">
        <v>85</v>
      </c>
      <c r="C67" s="180">
        <f>+Resultado!D26</f>
        <v>1228</v>
      </c>
      <c r="D67" s="180">
        <f>+Resultado!E26</f>
        <v>1183</v>
      </c>
      <c r="E67" s="397">
        <f>+[2]Cálculos!C67</f>
        <v>1895</v>
      </c>
      <c r="F67" s="240"/>
    </row>
    <row r="68" spans="2:13" ht="15" customHeight="1">
      <c r="B68" s="399" t="s">
        <v>88</v>
      </c>
      <c r="C68" s="404">
        <f>+C64+C65+C66</f>
        <v>76508306</v>
      </c>
      <c r="D68" s="404">
        <f>+D64+D65+D66</f>
        <v>74423965</v>
      </c>
      <c r="E68" s="405">
        <f>+E64+E65+E66</f>
        <v>133392316</v>
      </c>
      <c r="F68" s="240"/>
    </row>
    <row r="69" spans="2:13" ht="15" customHeight="1" thickBot="1">
      <c r="B69" s="400" t="s">
        <v>86</v>
      </c>
      <c r="C69" s="402">
        <f>+C68-C67</f>
        <v>76507078</v>
      </c>
      <c r="D69" s="402">
        <f t="shared" ref="D69:E69" si="1">+D68-D67</f>
        <v>74422782</v>
      </c>
      <c r="E69" s="403">
        <f t="shared" si="1"/>
        <v>133390421</v>
      </c>
      <c r="F69" s="240"/>
    </row>
    <row r="70" spans="2:13" ht="15" customHeight="1">
      <c r="D70" s="240"/>
    </row>
    <row r="71" spans="2:13" ht="15" customHeight="1">
      <c r="D71" s="240"/>
    </row>
    <row r="72" spans="2:13" ht="15" customHeight="1">
      <c r="D72" s="240"/>
    </row>
    <row r="73" spans="2:13" ht="15" customHeight="1">
      <c r="C73" s="259"/>
    </row>
    <row r="76" spans="2:13" ht="15" customHeight="1">
      <c r="C76" s="240"/>
    </row>
    <row r="100" spans="10:14" ht="15" customHeight="1">
      <c r="J100" s="260"/>
      <c r="K100" s="260"/>
      <c r="M100" s="260"/>
      <c r="N100" s="260"/>
    </row>
    <row r="101" spans="10:14" ht="15" customHeight="1">
      <c r="J101" s="260"/>
      <c r="K101" s="260"/>
      <c r="M101" s="260"/>
      <c r="N101" s="260"/>
    </row>
    <row r="102" spans="10:14" ht="15" customHeight="1">
      <c r="J102" s="260"/>
      <c r="K102" s="260"/>
      <c r="M102" s="260"/>
      <c r="N102" s="260"/>
    </row>
    <row r="103" spans="10:14" ht="15" customHeight="1">
      <c r="J103" s="260"/>
      <c r="K103" s="260"/>
      <c r="M103" s="260"/>
      <c r="N103" s="260"/>
    </row>
    <row r="104" spans="10:14" ht="15" customHeight="1">
      <c r="J104" s="260"/>
      <c r="K104" s="260"/>
      <c r="M104" s="260"/>
      <c r="N104" s="260"/>
    </row>
    <row r="105" spans="10:14" ht="15" customHeight="1">
      <c r="J105" s="260"/>
      <c r="K105" s="260"/>
      <c r="M105" s="260"/>
      <c r="N105" s="260"/>
    </row>
    <row r="106" spans="10:14" ht="15" customHeight="1">
      <c r="J106" s="260"/>
      <c r="K106" s="260"/>
      <c r="L106" s="260"/>
      <c r="M106" s="260"/>
      <c r="N106" s="260"/>
    </row>
    <row r="107" spans="10:14" ht="15" customHeight="1">
      <c r="J107" s="260"/>
      <c r="K107" s="260"/>
      <c r="L107" s="260"/>
      <c r="M107" s="260"/>
      <c r="N107" s="260"/>
    </row>
    <row r="108" spans="10:14" ht="15" customHeight="1">
      <c r="J108" s="260"/>
      <c r="K108" s="260"/>
      <c r="L108" s="260"/>
      <c r="M108" s="260"/>
    </row>
    <row r="109" spans="10:14" ht="15" customHeight="1">
      <c r="J109" s="260"/>
      <c r="K109" s="260"/>
      <c r="L109" s="260"/>
      <c r="M109" s="260"/>
    </row>
    <row r="110" spans="10:14" ht="15" customHeight="1">
      <c r="J110" s="260"/>
      <c r="K110" s="260"/>
      <c r="L110" s="260"/>
      <c r="M110" s="260"/>
    </row>
    <row r="111" spans="10:14" ht="15" customHeight="1">
      <c r="J111" s="260"/>
      <c r="K111" s="260"/>
      <c r="L111" s="260"/>
      <c r="M111" s="260"/>
    </row>
    <row r="112" spans="10:14" ht="15" customHeight="1">
      <c r="J112" s="260"/>
      <c r="K112" s="260"/>
      <c r="L112" s="260"/>
      <c r="M112" s="260"/>
    </row>
    <row r="113" spans="10:13" ht="15" customHeight="1">
      <c r="J113" s="260"/>
      <c r="K113" s="260"/>
      <c r="L113" s="260"/>
      <c r="M113" s="260"/>
    </row>
    <row r="114" spans="10:13" ht="15" customHeight="1">
      <c r="J114" s="260"/>
      <c r="K114" s="260"/>
      <c r="L114" s="260"/>
      <c r="M114" s="260"/>
    </row>
    <row r="115" spans="10:13" ht="15" customHeight="1">
      <c r="J115" s="260"/>
      <c r="K115" s="260"/>
      <c r="L115" s="260"/>
      <c r="M115" s="260"/>
    </row>
    <row r="116" spans="10:13" ht="15" customHeight="1">
      <c r="J116" s="260"/>
      <c r="K116" s="260"/>
      <c r="L116" s="260"/>
      <c r="M116" s="260"/>
    </row>
    <row r="117" spans="10:13" ht="15" customHeight="1">
      <c r="J117" s="260"/>
      <c r="K117" s="260"/>
      <c r="L117" s="260"/>
      <c r="M117" s="260"/>
    </row>
    <row r="118" spans="10:13" ht="15" customHeight="1">
      <c r="J118" s="260"/>
      <c r="K118" s="260"/>
      <c r="L118" s="260"/>
      <c r="M118" s="260"/>
    </row>
    <row r="119" spans="10:13" ht="15" customHeight="1">
      <c r="J119" s="260"/>
      <c r="K119" s="260"/>
      <c r="L119" s="260"/>
      <c r="M119" s="260"/>
    </row>
    <row r="120" spans="10:13" ht="15" customHeight="1">
      <c r="J120" s="260"/>
      <c r="K120" s="260"/>
      <c r="L120" s="260"/>
      <c r="M120" s="260"/>
    </row>
    <row r="121" spans="10:13" ht="15" customHeight="1">
      <c r="J121" s="260"/>
      <c r="K121" s="260"/>
      <c r="L121" s="260"/>
      <c r="M121" s="260"/>
    </row>
    <row r="122" spans="10:13" ht="15" customHeight="1">
      <c r="J122" s="260"/>
      <c r="K122" s="260"/>
      <c r="M122" s="260"/>
    </row>
    <row r="123" spans="10:13" ht="15" customHeight="1">
      <c r="J123" s="260"/>
      <c r="K123" s="260"/>
      <c r="L123" s="260"/>
      <c r="M123" s="260"/>
    </row>
    <row r="124" spans="10:13" ht="15" customHeight="1">
      <c r="J124" s="260"/>
      <c r="K124" s="260"/>
      <c r="L124" s="260"/>
      <c r="M124" s="260"/>
    </row>
    <row r="125" spans="10:13" ht="15" customHeight="1">
      <c r="J125" s="260"/>
      <c r="K125" s="260"/>
      <c r="L125" s="260"/>
      <c r="M125" s="260"/>
    </row>
    <row r="126" spans="10:13" ht="15" customHeight="1">
      <c r="J126" s="260"/>
      <c r="K126" s="260"/>
      <c r="L126" s="260"/>
      <c r="M126" s="260"/>
    </row>
    <row r="127" spans="10:13" ht="15" customHeight="1">
      <c r="J127" s="260"/>
      <c r="K127" s="260"/>
      <c r="L127" s="260"/>
      <c r="M127" s="260"/>
    </row>
    <row r="128" spans="10:13" ht="15" customHeight="1">
      <c r="J128" s="260"/>
      <c r="K128" s="260"/>
      <c r="L128" s="260"/>
      <c r="M128" s="260"/>
    </row>
    <row r="129" spans="10:13" ht="15" customHeight="1">
      <c r="J129" s="260"/>
      <c r="K129" s="260"/>
      <c r="L129" s="260"/>
      <c r="M129" s="260"/>
    </row>
    <row r="130" spans="10:13" ht="15" customHeight="1">
      <c r="J130" s="260"/>
      <c r="K130" s="260"/>
      <c r="M130" s="260"/>
    </row>
    <row r="131" spans="10:13" ht="15" customHeight="1">
      <c r="J131" s="260"/>
      <c r="K131" s="260"/>
      <c r="M131" s="260"/>
    </row>
    <row r="132" spans="10:13" ht="15" customHeight="1">
      <c r="J132" s="260"/>
      <c r="K132" s="260"/>
      <c r="M132" s="260"/>
    </row>
    <row r="133" spans="10:13" ht="15" customHeight="1">
      <c r="J133" s="260"/>
      <c r="K133" s="260"/>
      <c r="M133" s="260"/>
    </row>
    <row r="134" spans="10:13" ht="15" customHeight="1">
      <c r="J134" s="260"/>
      <c r="K134" s="260"/>
      <c r="M134" s="260"/>
    </row>
    <row r="135" spans="10:13" ht="15" customHeight="1">
      <c r="J135" s="260"/>
      <c r="K135" s="260"/>
      <c r="M135" s="260"/>
    </row>
    <row r="136" spans="10:13" ht="15" customHeight="1">
      <c r="J136" s="260"/>
      <c r="K136" s="260"/>
      <c r="M136" s="260"/>
    </row>
    <row r="137" spans="10:13" ht="15" customHeight="1">
      <c r="J137" s="260"/>
      <c r="K137" s="260"/>
      <c r="M137" s="260"/>
    </row>
    <row r="138" spans="10:13" ht="15" customHeight="1">
      <c r="J138" s="260"/>
      <c r="K138" s="260"/>
      <c r="M138" s="260"/>
    </row>
    <row r="139" spans="10:13" ht="15" customHeight="1">
      <c r="J139" s="260"/>
      <c r="K139" s="260"/>
      <c r="M139" s="260"/>
    </row>
    <row r="140" spans="10:13" ht="15" customHeight="1">
      <c r="J140" s="260"/>
      <c r="K140" s="260"/>
      <c r="M140" s="260"/>
    </row>
    <row r="141" spans="10:13" ht="15" customHeight="1">
      <c r="J141" s="260"/>
      <c r="K141" s="260"/>
      <c r="M141" s="260"/>
    </row>
    <row r="142" spans="10:13" ht="15" customHeight="1">
      <c r="J142" s="260"/>
      <c r="K142" s="260"/>
      <c r="M142" s="260"/>
    </row>
    <row r="143" spans="10:13" ht="15" customHeight="1">
      <c r="J143" s="260"/>
      <c r="K143" s="260"/>
      <c r="M143" s="260"/>
    </row>
    <row r="144" spans="10:13" ht="15" customHeight="1">
      <c r="J144" s="260"/>
      <c r="K144" s="260"/>
      <c r="M144" s="260"/>
    </row>
    <row r="145" spans="10:13" ht="15" customHeight="1">
      <c r="J145" s="260"/>
      <c r="K145" s="260"/>
      <c r="M145" s="260"/>
    </row>
    <row r="146" spans="10:13" ht="15" customHeight="1">
      <c r="J146" s="260"/>
      <c r="K146" s="260"/>
      <c r="M146" s="260"/>
    </row>
    <row r="147" spans="10:13" ht="15" customHeight="1">
      <c r="J147" s="260"/>
      <c r="K147" s="260"/>
      <c r="M147" s="260"/>
    </row>
    <row r="148" spans="10:13" ht="15" customHeight="1">
      <c r="J148" s="230"/>
      <c r="K148" s="260"/>
      <c r="M148" s="260"/>
    </row>
    <row r="149" spans="10:13" ht="15" customHeight="1">
      <c r="J149" s="260"/>
      <c r="K149" s="260"/>
      <c r="M149" s="260"/>
    </row>
    <row r="150" spans="10:13" ht="15" customHeight="1">
      <c r="J150" s="260"/>
      <c r="K150" s="260"/>
      <c r="M150" s="260"/>
    </row>
    <row r="151" spans="10:13" ht="15" customHeight="1">
      <c r="J151" s="260"/>
      <c r="K151" s="260"/>
      <c r="M151" s="260"/>
    </row>
    <row r="152" spans="10:13" ht="15" customHeight="1">
      <c r="J152" s="260"/>
      <c r="K152" s="260"/>
      <c r="M152" s="260"/>
    </row>
    <row r="153" spans="10:13" ht="15" customHeight="1">
      <c r="J153" s="260"/>
      <c r="K153" s="260"/>
      <c r="L153" s="226"/>
      <c r="M153" s="260"/>
    </row>
    <row r="154" spans="10:13" ht="15" customHeight="1">
      <c r="J154" s="260"/>
      <c r="K154" s="260"/>
      <c r="L154" s="226"/>
      <c r="M154" s="260"/>
    </row>
    <row r="155" spans="10:13" ht="15" customHeight="1">
      <c r="J155" s="260"/>
      <c r="K155" s="260"/>
      <c r="L155" s="226"/>
      <c r="M155" s="260"/>
    </row>
    <row r="156" spans="10:13" ht="15" customHeight="1">
      <c r="J156" s="260"/>
      <c r="K156" s="260"/>
      <c r="L156" s="226"/>
      <c r="M156" s="260"/>
    </row>
    <row r="157" spans="10:13" ht="15" customHeight="1">
      <c r="J157" s="260"/>
      <c r="K157" s="260"/>
      <c r="L157" s="226"/>
      <c r="M157" s="260"/>
    </row>
    <row r="158" spans="10:13" ht="15" customHeight="1">
      <c r="J158" s="260"/>
      <c r="K158" s="260"/>
      <c r="L158" s="226"/>
      <c r="M158" s="260"/>
    </row>
    <row r="159" spans="10:13" ht="15" customHeight="1">
      <c r="J159" s="260"/>
      <c r="K159" s="260"/>
      <c r="L159" s="226"/>
      <c r="M159" s="260"/>
    </row>
    <row r="160" spans="10:13" ht="15" customHeight="1">
      <c r="J160" s="260"/>
      <c r="K160" s="260"/>
      <c r="L160" s="226"/>
      <c r="M160" s="260"/>
    </row>
    <row r="161" spans="12:12" ht="15" customHeight="1">
      <c r="L161" s="226"/>
    </row>
    <row r="162" spans="12:12" ht="15" customHeight="1">
      <c r="L162" s="226"/>
    </row>
    <row r="163" spans="12:12" ht="15" customHeight="1">
      <c r="L163" s="226"/>
    </row>
    <row r="164" spans="12:12" ht="15" customHeight="1">
      <c r="L164" s="226"/>
    </row>
    <row r="165" spans="12:12" ht="15" customHeight="1">
      <c r="L165" s="226"/>
    </row>
    <row r="184" spans="10:13" ht="15" customHeight="1">
      <c r="L184" s="132"/>
    </row>
    <row r="186" spans="10:13" ht="15" customHeight="1">
      <c r="J186" s="260"/>
      <c r="K186" s="260"/>
      <c r="L186" s="260"/>
      <c r="M186" s="260"/>
    </row>
    <row r="187" spans="10:13" ht="15" customHeight="1">
      <c r="J187" s="260"/>
      <c r="K187" s="260"/>
      <c r="L187" s="260"/>
      <c r="M187" s="260"/>
    </row>
    <row r="188" spans="10:13" ht="15" customHeight="1">
      <c r="J188" s="260"/>
      <c r="K188" s="260"/>
      <c r="L188" s="260"/>
      <c r="M188" s="260"/>
    </row>
    <row r="189" spans="10:13" ht="15" customHeight="1">
      <c r="J189" s="260"/>
      <c r="K189" s="260"/>
      <c r="L189" s="260"/>
      <c r="M189" s="260"/>
    </row>
    <row r="190" spans="10:13" ht="15" customHeight="1">
      <c r="J190" s="260"/>
      <c r="K190" s="260"/>
      <c r="L190" s="260"/>
      <c r="M190" s="260"/>
    </row>
    <row r="191" spans="10:13" ht="15" customHeight="1">
      <c r="J191" s="260"/>
      <c r="K191" s="260"/>
      <c r="L191" s="260"/>
      <c r="M191" s="260"/>
    </row>
    <row r="192" spans="10:13" ht="15" customHeight="1">
      <c r="J192" s="260"/>
      <c r="K192" s="260"/>
      <c r="L192" s="260"/>
      <c r="M192" s="260"/>
    </row>
    <row r="193" spans="10:13" ht="15" customHeight="1">
      <c r="J193" s="260"/>
      <c r="K193" s="260"/>
      <c r="L193" s="260"/>
      <c r="M193" s="260"/>
    </row>
    <row r="194" spans="10:13" ht="15" customHeight="1">
      <c r="J194" s="260"/>
      <c r="K194" s="260"/>
      <c r="L194" s="260"/>
      <c r="M194" s="260"/>
    </row>
    <row r="195" spans="10:13" ht="15" customHeight="1">
      <c r="J195" s="260"/>
      <c r="K195" s="260"/>
      <c r="L195" s="260"/>
      <c r="M195" s="260"/>
    </row>
    <row r="196" spans="10:13" ht="15" customHeight="1">
      <c r="J196" s="260"/>
      <c r="K196" s="260"/>
      <c r="M196" s="260"/>
    </row>
    <row r="197" spans="10:13" ht="15" customHeight="1">
      <c r="J197" s="260"/>
      <c r="K197" s="260"/>
      <c r="M197" s="260"/>
    </row>
    <row r="198" spans="10:13" ht="15" customHeight="1">
      <c r="J198" s="260"/>
      <c r="K198" s="260"/>
      <c r="M198" s="260"/>
    </row>
    <row r="199" spans="10:13" ht="15" customHeight="1">
      <c r="J199" s="260"/>
      <c r="K199" s="260"/>
      <c r="M199" s="260"/>
    </row>
    <row r="200" spans="10:13" ht="15" customHeight="1">
      <c r="J200" s="260"/>
      <c r="K200" s="260"/>
      <c r="M200" s="260"/>
    </row>
    <row r="201" spans="10:13" ht="15" customHeight="1">
      <c r="J201" s="260"/>
      <c r="K201" s="260"/>
      <c r="M201" s="260"/>
    </row>
    <row r="202" spans="10:13" ht="15" customHeight="1">
      <c r="J202" s="260"/>
      <c r="K202" s="260"/>
      <c r="M202" s="260"/>
    </row>
    <row r="203" spans="10:13" ht="15" customHeight="1">
      <c r="J203" s="260"/>
      <c r="K203" s="260"/>
      <c r="M203" s="260"/>
    </row>
    <row r="204" spans="10:13" ht="15" customHeight="1">
      <c r="J204" s="260"/>
      <c r="K204" s="260"/>
      <c r="M204" s="260"/>
    </row>
  </sheetData>
  <phoneticPr fontId="0" type="noConversion"/>
  <printOptions horizontalCentered="1" verticalCentered="1"/>
  <pageMargins left="0.75" right="0.75" top="0.39370078740157483" bottom="0.19685039370078741" header="0" footer="0"/>
  <pageSetup orientation="portrait" r:id="rId1"/>
  <headerFooter alignWithMargins="0">
    <oddFooter>&amp;R&amp;D  - 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7904A346C7DD4CB5D7CA632F15255C" ma:contentTypeVersion="16" ma:contentTypeDescription="Crear nuevo documento." ma:contentTypeScope="" ma:versionID="9210b77dfb31e69af9bd70199b5e5959">
  <xsd:schema xmlns:xsd="http://www.w3.org/2001/XMLSchema" xmlns:xs="http://www.w3.org/2001/XMLSchema" xmlns:p="http://schemas.microsoft.com/office/2006/metadata/properties" xmlns:ns2="cdaa483f-becd-4601-9da5-7224441603e2" xmlns:ns3="2667b352-ea57-489e-a59a-7ce1cbaae621" targetNamespace="http://schemas.microsoft.com/office/2006/metadata/properties" ma:root="true" ma:fieldsID="226f6c7207f167e99096436060250f4c" ns2:_="" ns3:_="">
    <xsd:import namespace="cdaa483f-becd-4601-9da5-7224441603e2"/>
    <xsd:import namespace="2667b352-ea57-489e-a59a-7ce1cbaae6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a483f-becd-4601-9da5-7224441603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8f0e803-a5df-4450-bbb8-f0df653328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7b352-ea57-489e-a59a-7ce1cbaae6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d295033-f451-4031-a4c8-6373d5cb8e83}" ma:internalName="TaxCatchAll" ma:showField="CatchAllData" ma:web="2667b352-ea57-489e-a59a-7ce1cbaae6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31D43BC4-A5C2-43B7-9D74-C55D037146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D83CFC-ECFA-467C-A6DB-04C2B2E54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aa483f-becd-4601-9da5-7224441603e2"/>
    <ds:schemaRef ds:uri="2667b352-ea57-489e-a59a-7ce1cbaae6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</vt:i4>
      </vt:variant>
    </vt:vector>
  </HeadingPairs>
  <TitlesOfParts>
    <vt:vector size="15" baseType="lpstr">
      <vt:lpstr>Resultados</vt:lpstr>
      <vt:lpstr>Resultados por Segmento</vt:lpstr>
      <vt:lpstr>Resultados Trimestrales</vt:lpstr>
      <vt:lpstr>Estado de situación financiera</vt:lpstr>
      <vt:lpstr>Deuda Financiera</vt:lpstr>
      <vt:lpstr>Flujo de efectivo</vt:lpstr>
      <vt:lpstr>Indicadores</vt:lpstr>
      <vt:lpstr>Cálculos</vt:lpstr>
      <vt:lpstr>Balance</vt:lpstr>
      <vt:lpstr>Resultado</vt:lpstr>
      <vt:lpstr>Flujo</vt:lpstr>
      <vt:lpstr>Anualizados</vt:lpstr>
      <vt:lpstr>Valor acción</vt:lpstr>
      <vt:lpstr>'Resultados por Segmento'!_Hlk47472038</vt:lpstr>
      <vt:lpstr>Cálculos!Área_de_impresión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Jorge Douglas Cuellar Barry</cp:lastModifiedBy>
  <cp:lastPrinted>2011-04-19T13:35:12Z</cp:lastPrinted>
  <dcterms:created xsi:type="dcterms:W3CDTF">2009-05-16T00:13:33Z</dcterms:created>
  <dcterms:modified xsi:type="dcterms:W3CDTF">2024-08-21T21:53:20Z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