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-my.sharepoint.com/personal/esandovals_aguasandinas_cl/Documents/Escritorio/Resultados/2024/1Q/WEB/AA/"/>
    </mc:Choice>
  </mc:AlternateContent>
  <xr:revisionPtr revIDLastSave="0" documentId="8_{5097D616-4E7B-4BDA-8541-D7323A4C30AA}" xr6:coauthVersionLast="47" xr6:coauthVersionMax="47" xr10:uidLastSave="{00000000-0000-0000-0000-000000000000}"/>
  <bookViews>
    <workbookView xWindow="-28920" yWindow="-3255" windowWidth="29040" windowHeight="15720" tabRatio="904" firstSheet="1" activeTab="8" xr2:uid="{00000000-000D-0000-FFFF-FFFF00000000}"/>
  </bookViews>
  <sheets>
    <sheet name="BExRepositorySheet" sheetId="9" state="veryHidden" r:id="rId1"/>
    <sheet name="Resultados" sheetId="18" r:id="rId2"/>
    <sheet name="Resultados por Segmento" sheetId="29" state="hidden" r:id="rId3"/>
    <sheet name="Resultados Trim" sheetId="24" state="hidden" r:id="rId4"/>
    <sheet name="Resultados Trimestrales" sheetId="30" state="hidden" r:id="rId5"/>
    <sheet name="Estado de situación financiera" sheetId="8" r:id="rId6"/>
    <sheet name="Deuda Financiera" sheetId="23" r:id="rId7"/>
    <sheet name="Flujo de efectivo" sheetId="17" r:id="rId8"/>
    <sheet name="Indicadores" sheetId="15" r:id="rId9"/>
    <sheet name="Balance" sheetId="11" state="hidden" r:id="rId10"/>
    <sheet name="Resultado" sheetId="12" state="hidden" r:id="rId11"/>
    <sheet name="Flujo" sheetId="13" state="hidden" r:id="rId12"/>
    <sheet name="Anualizados" sheetId="10" state="hidden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11" hidden="1">Flujo!$B$2:$E$71</definedName>
    <definedName name="_Hlk47472038" localSheetId="2">'Resultados por Segmento'!$B$10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3" l="1"/>
  <c r="D14" i="13"/>
  <c r="E71" i="13"/>
  <c r="E70" i="13"/>
  <c r="E69" i="13"/>
  <c r="E68" i="13"/>
  <c r="E64" i="13"/>
  <c r="E63" i="13"/>
  <c r="E62" i="13"/>
  <c r="E61" i="13"/>
  <c r="E60" i="13"/>
  <c r="E59" i="13"/>
  <c r="E58" i="13"/>
  <c r="E57" i="13"/>
  <c r="E56" i="13"/>
  <c r="E54" i="13"/>
  <c r="E53" i="13"/>
  <c r="E52" i="13"/>
  <c r="E51" i="13"/>
  <c r="E50" i="13"/>
  <c r="E49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1" i="13"/>
  <c r="E20" i="13"/>
  <c r="E19" i="13"/>
  <c r="E18" i="13"/>
  <c r="E17" i="13"/>
  <c r="E16" i="13"/>
  <c r="E12" i="13"/>
  <c r="E11" i="13"/>
  <c r="E10" i="13"/>
  <c r="E8" i="13"/>
  <c r="E7" i="13"/>
  <c r="E6" i="13"/>
  <c r="E5" i="13"/>
  <c r="E4" i="13"/>
  <c r="D71" i="13"/>
  <c r="D70" i="13"/>
  <c r="D69" i="13"/>
  <c r="D68" i="13"/>
  <c r="D64" i="13"/>
  <c r="D63" i="13"/>
  <c r="D62" i="13"/>
  <c r="D61" i="13"/>
  <c r="D60" i="13"/>
  <c r="D59" i="13"/>
  <c r="D58" i="13"/>
  <c r="D57" i="13"/>
  <c r="D56" i="13"/>
  <c r="D54" i="13"/>
  <c r="D53" i="13"/>
  <c r="D52" i="13"/>
  <c r="D51" i="13"/>
  <c r="D50" i="13"/>
  <c r="D49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1" i="13"/>
  <c r="D20" i="13"/>
  <c r="D19" i="13"/>
  <c r="D18" i="13"/>
  <c r="D17" i="13"/>
  <c r="D16" i="13"/>
  <c r="D12" i="13"/>
  <c r="D11" i="13"/>
  <c r="D10" i="13"/>
  <c r="D8" i="13"/>
  <c r="D7" i="13"/>
  <c r="D6" i="13"/>
  <c r="D5" i="13"/>
  <c r="D4" i="13"/>
  <c r="D59" i="11" l="1"/>
  <c r="D53" i="11"/>
  <c r="D16" i="12" l="1"/>
  <c r="D15" i="12"/>
  <c r="D28" i="29" l="1"/>
  <c r="D27" i="29"/>
  <c r="D26" i="29"/>
  <c r="D24" i="29"/>
  <c r="D22" i="29"/>
  <c r="D21" i="29"/>
  <c r="D20" i="29"/>
  <c r="C28" i="29"/>
  <c r="C27" i="29"/>
  <c r="C26" i="29"/>
  <c r="C24" i="29"/>
  <c r="C22" i="29"/>
  <c r="C21" i="29"/>
  <c r="C20" i="29"/>
  <c r="D13" i="29"/>
  <c r="D12" i="29"/>
  <c r="D11" i="29"/>
  <c r="D10" i="29"/>
  <c r="D8" i="29"/>
  <c r="D6" i="29"/>
  <c r="D5" i="29"/>
  <c r="D4" i="29"/>
  <c r="C13" i="29"/>
  <c r="C12" i="29"/>
  <c r="C11" i="29"/>
  <c r="C10" i="29"/>
  <c r="C8" i="29"/>
  <c r="C6" i="29"/>
  <c r="C5" i="29"/>
  <c r="C4" i="29"/>
  <c r="D26" i="12" l="1"/>
  <c r="C29" i="12"/>
  <c r="E26" i="12"/>
  <c r="C26" i="12"/>
  <c r="E21" i="12"/>
  <c r="D21" i="12"/>
  <c r="E19" i="12"/>
  <c r="D19" i="12"/>
  <c r="C19" i="12"/>
  <c r="E16" i="12"/>
  <c r="C16" i="12"/>
  <c r="E15" i="12"/>
  <c r="C15" i="12"/>
  <c r="E14" i="12"/>
  <c r="D14" i="12"/>
  <c r="C14" i="12"/>
  <c r="E13" i="12"/>
  <c r="D13" i="12"/>
  <c r="C13" i="12"/>
  <c r="E11" i="12"/>
  <c r="D11" i="12"/>
  <c r="C11" i="12"/>
  <c r="E10" i="12"/>
  <c r="D10" i="12"/>
  <c r="C10" i="12"/>
  <c r="E9" i="12"/>
  <c r="D9" i="12"/>
  <c r="E8" i="12"/>
  <c r="D8" i="12"/>
  <c r="C8" i="12"/>
  <c r="E7" i="12"/>
  <c r="D7" i="12"/>
  <c r="C7" i="12"/>
  <c r="E6" i="12"/>
  <c r="D6" i="12"/>
  <c r="E5" i="12"/>
  <c r="D5" i="12"/>
  <c r="C5" i="12"/>
  <c r="E64" i="11"/>
  <c r="D64" i="11"/>
  <c r="C64" i="11"/>
  <c r="C63" i="11"/>
  <c r="E62" i="11"/>
  <c r="D62" i="11"/>
  <c r="C62" i="11"/>
  <c r="E61" i="11"/>
  <c r="D61" i="11"/>
  <c r="C61" i="11"/>
  <c r="E60" i="11"/>
  <c r="D60" i="11"/>
  <c r="C60" i="11"/>
  <c r="E59" i="11"/>
  <c r="C59" i="11"/>
  <c r="E58" i="11"/>
  <c r="D58" i="11"/>
  <c r="C58" i="11"/>
  <c r="E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3" i="11"/>
  <c r="D43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7" i="11"/>
  <c r="D7" i="11"/>
  <c r="C7" i="11"/>
  <c r="E6" i="11"/>
  <c r="D6" i="11"/>
  <c r="C6" i="11"/>
  <c r="G14" i="11" l="1"/>
  <c r="D23" i="29" l="1"/>
  <c r="C23" i="29"/>
  <c r="C25" i="29" l="1"/>
  <c r="C29" i="29" s="1"/>
  <c r="C30" i="29" s="1"/>
  <c r="D25" i="29"/>
  <c r="D13" i="11" l="1"/>
  <c r="G13" i="30" l="1"/>
  <c r="E13" i="30" s="1"/>
  <c r="G10" i="30" l="1"/>
  <c r="E10" i="30" s="1"/>
  <c r="D12" i="30"/>
  <c r="C12" i="30"/>
  <c r="D11" i="30"/>
  <c r="C7" i="30"/>
  <c r="D7" i="30"/>
  <c r="C9" i="30"/>
  <c r="D9" i="30"/>
  <c r="C4" i="30"/>
  <c r="D4" i="30"/>
  <c r="G12" i="30" l="1"/>
  <c r="E12" i="30" s="1"/>
  <c r="G9" i="30"/>
  <c r="E9" i="30" s="1"/>
  <c r="D5" i="30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J70" i="13"/>
  <c r="C8" i="30" l="1"/>
  <c r="G8" i="30" s="1"/>
  <c r="E8" i="30" s="1"/>
  <c r="G6" i="30"/>
  <c r="E6" i="30" s="1"/>
  <c r="G5" i="30"/>
  <c r="E5" i="30" s="1"/>
  <c r="K69" i="13" l="1"/>
  <c r="D29" i="29"/>
  <c r="D30" i="29" s="1"/>
  <c r="G13" i="29"/>
  <c r="E13" i="29" s="1"/>
  <c r="J54" i="13" l="1"/>
  <c r="G13" i="13"/>
  <c r="D7" i="29" l="1"/>
  <c r="D9" i="29" s="1"/>
  <c r="D14" i="29" s="1"/>
  <c r="D15" i="29" s="1"/>
  <c r="C7" i="29"/>
  <c r="C9" i="29" s="1"/>
  <c r="C14" i="29" s="1"/>
  <c r="C15" i="29" s="1"/>
  <c r="G14" i="29" l="1"/>
  <c r="E14" i="29" s="1"/>
  <c r="G12" i="29"/>
  <c r="E12" i="29" s="1"/>
  <c r="G11" i="29"/>
  <c r="E11" i="29" s="1"/>
  <c r="G10" i="29"/>
  <c r="G9" i="29"/>
  <c r="E9" i="29" s="1"/>
  <c r="G8" i="29"/>
  <c r="E8" i="29" s="1"/>
  <c r="G7" i="29"/>
  <c r="E7" i="29" s="1"/>
  <c r="G6" i="29"/>
  <c r="E6" i="29" s="1"/>
  <c r="G5" i="29"/>
  <c r="E5" i="29" s="1"/>
  <c r="D48" i="13" l="1"/>
  <c r="G10" i="24"/>
  <c r="G29" i="29"/>
  <c r="E29" i="29" s="1"/>
  <c r="G28" i="29"/>
  <c r="E28" i="29" s="1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E55" i="13" l="1"/>
  <c r="D55" i="13"/>
  <c r="D22" i="13"/>
  <c r="E22" i="13"/>
  <c r="D12" i="12" l="1"/>
  <c r="G13" i="24" l="1"/>
  <c r="E13" i="24" s="1"/>
  <c r="J21" i="12"/>
  <c r="K21" i="12" s="1"/>
  <c r="G21" i="12"/>
  <c r="H21" i="12" s="1"/>
  <c r="E48" i="13"/>
  <c r="I48" i="13" s="1"/>
  <c r="E12" i="12" l="1"/>
  <c r="E18" i="12" l="1"/>
  <c r="D18" i="12"/>
  <c r="H17" i="13" l="1"/>
  <c r="H16" i="13"/>
  <c r="E15" i="13" l="1"/>
  <c r="D15" i="13"/>
  <c r="E9" i="13"/>
  <c r="D9" i="13"/>
  <c r="D2" i="13"/>
  <c r="E2" i="13"/>
  <c r="G10" i="12"/>
  <c r="H10" i="12" s="1"/>
  <c r="G11" i="12"/>
  <c r="H11" i="12" s="1"/>
  <c r="G14" i="12"/>
  <c r="H14" i="12" s="1"/>
  <c r="G15" i="12"/>
  <c r="H15" i="12" s="1"/>
  <c r="G16" i="12"/>
  <c r="H16" i="12" s="1"/>
  <c r="E31" i="11"/>
  <c r="D31" i="11"/>
  <c r="E23" i="13" l="1"/>
  <c r="D23" i="13"/>
  <c r="G13" i="12"/>
  <c r="H13" i="12" s="1"/>
  <c r="G23" i="13" l="1"/>
  <c r="D6" i="24" l="1"/>
  <c r="D8" i="24" s="1"/>
  <c r="C6" i="24"/>
  <c r="C8" i="24" s="1"/>
  <c r="G5" i="13" l="1"/>
  <c r="G6" i="13" l="1"/>
  <c r="E20" i="12" l="1"/>
  <c r="D20" i="12"/>
  <c r="D23" i="12" s="1"/>
  <c r="D25" i="12" s="1"/>
  <c r="D29" i="12" l="1"/>
  <c r="D30" i="12" s="1"/>
  <c r="D14" i="30"/>
  <c r="E23" i="12"/>
  <c r="E25" i="12" s="1"/>
  <c r="E29" i="12" s="1"/>
  <c r="E30" i="12" s="1"/>
  <c r="E27" i="12" l="1"/>
  <c r="D27" i="12"/>
  <c r="G3" i="29"/>
  <c r="D3" i="29"/>
  <c r="D19" i="29" s="1"/>
  <c r="C3" i="29"/>
  <c r="C19" i="29" s="1"/>
  <c r="G19" i="29" l="1"/>
  <c r="G9" i="24" l="1"/>
  <c r="E9" i="24" s="1"/>
  <c r="G11" i="24"/>
  <c r="E11" i="24" s="1"/>
  <c r="G12" i="24"/>
  <c r="E12" i="24" s="1"/>
  <c r="G4" i="29" l="1"/>
  <c r="E4" i="29" s="1"/>
  <c r="G9" i="12" l="1"/>
  <c r="J9" i="12" l="1"/>
  <c r="K9" i="12" s="1"/>
  <c r="H9" i="12"/>
  <c r="C19" i="10" l="1"/>
  <c r="C11" i="10" l="1"/>
  <c r="C12" i="10"/>
  <c r="G68" i="13" l="1"/>
  <c r="H68" i="13" s="1"/>
  <c r="G67" i="13"/>
  <c r="H67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H23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G26" i="12"/>
  <c r="H26" i="12" s="1"/>
  <c r="G19" i="12"/>
  <c r="H19" i="12" s="1"/>
  <c r="G8" i="12"/>
  <c r="H8" i="12" s="1"/>
  <c r="G7" i="12"/>
  <c r="H7" i="12" s="1"/>
  <c r="G6" i="12"/>
  <c r="H6" i="12" s="1"/>
  <c r="G5" i="12"/>
  <c r="H5" i="12" l="1"/>
  <c r="G7" i="24"/>
  <c r="E7" i="24" s="1"/>
  <c r="J8" i="12"/>
  <c r="K8" i="12" s="1"/>
  <c r="J26" i="12"/>
  <c r="K26" i="12" s="1"/>
  <c r="J6" i="12"/>
  <c r="K6" i="12" s="1"/>
  <c r="J19" i="12"/>
  <c r="K19" i="12" s="1"/>
  <c r="J14" i="12"/>
  <c r="K14" i="12" s="1"/>
  <c r="J15" i="12"/>
  <c r="K15" i="12" s="1"/>
  <c r="J11" i="12"/>
  <c r="K11" i="12" s="1"/>
  <c r="J13" i="12"/>
  <c r="K13" i="12" s="1"/>
  <c r="J5" i="12"/>
  <c r="K5" i="12" s="1"/>
  <c r="J10" i="12"/>
  <c r="K10" i="12" s="1"/>
  <c r="J20" i="12" l="1"/>
  <c r="K20" i="12" s="1"/>
  <c r="G5" i="24"/>
  <c r="E5" i="24" s="1"/>
  <c r="J7" i="12"/>
  <c r="K7" i="12" s="1"/>
  <c r="J16" i="12"/>
  <c r="K16" i="12" s="1"/>
  <c r="C14" i="30" l="1"/>
  <c r="G14" i="30" s="1"/>
  <c r="E14" i="30" s="1"/>
  <c r="G14" i="24"/>
  <c r="E14" i="24" s="1"/>
  <c r="J27" i="12"/>
  <c r="K27" i="12" s="1"/>
  <c r="J23" i="12"/>
  <c r="K23" i="12" s="1"/>
  <c r="G8" i="24"/>
  <c r="E8" i="24" s="1"/>
  <c r="G6" i="24"/>
  <c r="E6" i="24" s="1"/>
  <c r="G18" i="12" l="1"/>
  <c r="J18" i="12" l="1"/>
  <c r="K18" i="12" s="1"/>
  <c r="H18" i="12"/>
  <c r="G20" i="12"/>
  <c r="H20" i="12" s="1"/>
  <c r="G4" i="24"/>
  <c r="E4" i="24" s="1"/>
  <c r="G23" i="12" l="1"/>
  <c r="H23" i="12" s="1"/>
  <c r="G25" i="12" l="1"/>
  <c r="H25" i="12" s="1"/>
  <c r="G27" i="12"/>
  <c r="H27" i="12" s="1"/>
  <c r="J25" i="12" l="1"/>
  <c r="K25" i="12" s="1"/>
  <c r="B19" i="10"/>
  <c r="B18" i="10"/>
  <c r="B17" i="10"/>
  <c r="B13" i="10"/>
  <c r="B20" i="10" s="1"/>
  <c r="B12" i="10"/>
  <c r="B11" i="10"/>
  <c r="B10" i="10"/>
  <c r="C3" i="10" l="1"/>
  <c r="C17" i="10" l="1"/>
  <c r="C18" i="10" l="1"/>
  <c r="C4" i="10" l="1"/>
  <c r="C20" i="10"/>
  <c r="C10" i="10" l="1"/>
  <c r="C13" i="10" s="1"/>
  <c r="C5" i="10" l="1"/>
  <c r="C6" i="10" s="1"/>
  <c r="D26" i="11" l="1"/>
  <c r="D15" i="11"/>
  <c r="D54" i="11" l="1"/>
  <c r="D42" i="11"/>
  <c r="D63" i="11"/>
  <c r="D65" i="11" l="1"/>
  <c r="D28" i="11"/>
  <c r="D44" i="11"/>
  <c r="D56" i="11" l="1"/>
  <c r="D67" i="11" l="1"/>
  <c r="D69" i="11" s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E26" i="11"/>
  <c r="G64" i="11"/>
  <c r="H64" i="11" s="1"/>
  <c r="E63" i="11"/>
  <c r="G58" i="11"/>
  <c r="H58" i="11" s="1"/>
  <c r="E15" i="11"/>
  <c r="G13" i="11"/>
  <c r="H13" i="11" s="1"/>
  <c r="G15" i="11" l="1"/>
  <c r="G42" i="11"/>
  <c r="H42" i="11" s="1"/>
  <c r="G54" i="11"/>
  <c r="H54" i="11" s="1"/>
  <c r="G26" i="11"/>
  <c r="H26" i="11" s="1"/>
  <c r="E28" i="11"/>
  <c r="G28" i="11" s="1"/>
  <c r="H28" i="11" s="1"/>
  <c r="H15" i="11"/>
  <c r="E65" i="11"/>
  <c r="G65" i="11" s="1"/>
  <c r="H65" i="11" s="1"/>
  <c r="G63" i="11"/>
  <c r="H63" i="11" s="1"/>
  <c r="E56" i="11"/>
  <c r="G44" i="11"/>
  <c r="H44" i="11" s="1"/>
  <c r="E67" i="11" l="1"/>
  <c r="G56" i="11"/>
  <c r="H56" i="11" s="1"/>
  <c r="E69" i="11" l="1"/>
  <c r="G67" i="11"/>
  <c r="H67" i="11" s="1"/>
  <c r="D65" i="13" l="1"/>
  <c r="D66" i="13" s="1"/>
  <c r="G63" i="13" l="1"/>
  <c r="H63" i="13" s="1"/>
  <c r="E65" i="13"/>
  <c r="E66" i="13" s="1"/>
  <c r="G64" i="13"/>
  <c r="H64" i="13" s="1"/>
  <c r="G66" i="13" l="1"/>
  <c r="H66" i="13" s="1"/>
  <c r="G65" i="13"/>
  <c r="H65" i="13" s="1"/>
  <c r="G70" i="13" l="1"/>
  <c r="H70" i="13" s="1"/>
  <c r="D73" i="13"/>
  <c r="G69" i="13"/>
  <c r="H69" i="13" s="1"/>
  <c r="G71" i="13" l="1"/>
  <c r="H71" i="13" s="1"/>
  <c r="E73" i="13"/>
</calcChain>
</file>

<file path=xl/sharedStrings.xml><?xml version="1.0" encoding="utf-8"?>
<sst xmlns="http://schemas.openxmlformats.org/spreadsheetml/2006/main" count="436" uniqueCount="319">
  <si>
    <t>Pasivos corrientes</t>
  </si>
  <si>
    <t>Pasivos no corrientes</t>
  </si>
  <si>
    <t>Activos corrientes</t>
  </si>
  <si>
    <t>Activos no corrientes</t>
  </si>
  <si>
    <t xml:space="preserve"> </t>
  </si>
  <si>
    <t>M$</t>
  </si>
  <si>
    <t>Resultado antes de imptos e intereses</t>
  </si>
  <si>
    <t>Gastos financieros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</si>
  <si>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</si>
  <si>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</si>
  <si>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</si>
  <si>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</si>
  <si>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</si>
  <si>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</si>
  <si>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</si>
  <si>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</si>
  <si>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</si>
  <si>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</si>
  <si>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</si>
  <si>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</si>
  <si>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Gastos por beneficios a los empleados</t>
  </si>
  <si>
    <t>Otros gastos, por naturaleza</t>
  </si>
  <si>
    <t>Patrimonio atribuible a los propietarios de la controladora</t>
  </si>
  <si>
    <t>Participaciones no controladoras</t>
  </si>
  <si>
    <t>Ingresos financieros</t>
  </si>
  <si>
    <t>Materias primas y consumibles utilizados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</si>
  <si>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</si>
  <si>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</si>
  <si>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</si>
  <si>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</si>
  <si>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</si>
  <si>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</si>
  <si>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</si>
  <si>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</si>
  <si>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</si>
  <si>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</si>
  <si>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</si>
  <si>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</si>
  <si>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</si>
  <si>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</si>
  <si>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</si>
  <si>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</si>
  <si>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</si>
  <si>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</si>
  <si>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</si>
  <si>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</si>
  <si>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</si>
  <si>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</si>
  <si>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</si>
  <si>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</si>
  <si>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</si>
  <si>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</si>
  <si>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Otras participaciones en el patrimonio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</si>
  <si>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</si>
  <si>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</si>
  <si>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</si>
  <si>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</si>
  <si>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</si>
  <si>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</si>
  <si>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</si>
  <si>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</si>
  <si>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</si>
  <si>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</si>
  <si>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</si>
  <si>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</si>
  <si>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</si>
  <si>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</si>
  <si>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</si>
  <si>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</si>
  <si>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</si>
  <si>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</si>
  <si>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</si>
  <si>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</si>
  <si>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</si>
  <si>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</si>
  <si>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</si>
  <si>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</si>
  <si>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</si>
  <si>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</si>
  <si>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</si>
  <si>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</si>
  <si>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</si>
  <si>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</si>
  <si>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</si>
  <si>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</si>
  <si>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</si>
  <si>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</si>
  <si>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</si>
  <si>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</si>
  <si>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</si>
  <si>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</si>
  <si>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</si>
  <si>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</si>
  <si>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</si>
  <si>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</si>
  <si>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</si>
  <si>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</si>
  <si>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</si>
  <si>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</si>
  <si>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</si>
  <si>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</si>
  <si>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</si>
  <si>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</si>
  <si>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</si>
  <si>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</si>
  <si>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</si>
  <si>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</si>
  <si>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</si>
  <si>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</si>
  <si>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</si>
  <si>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</si>
  <si>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</si>
  <si>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</si>
  <si>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</si>
  <si>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</si>
  <si>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</si>
  <si>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</si>
  <si>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</si>
  <si>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</si>
  <si>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</si>
  <si>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</si>
  <si>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</si>
  <si>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</si>
  <si>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</si>
  <si>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</si>
  <si>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</si>
  <si>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</si>
  <si>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</si>
  <si>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</si>
  <si>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</si>
  <si>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</si>
  <si>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</si>
  <si>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</si>
  <si>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</si>
  <si>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</si>
  <si>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</si>
  <si>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</si>
  <si>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</si>
  <si>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</si>
  <si>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</si>
  <si>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</si>
  <si>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</si>
  <si>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</si>
  <si>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</si>
  <si>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</si>
  <si>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</si>
  <si>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</si>
  <si>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</si>
  <si>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</si>
  <si>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</si>
  <si>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</si>
  <si>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</si>
  <si>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</si>
  <si>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</si>
  <si>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</si>
  <si>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</si>
  <si>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Importes procedentes de ventas de activos intangibles</t>
  </si>
  <si>
    <t>Otros pasivos no financieros</t>
  </si>
  <si>
    <t>Variación en</t>
  </si>
  <si>
    <t>Periodo</t>
  </si>
  <si>
    <t>Trimestre</t>
  </si>
  <si>
    <t>Estado de Resultados (M$)</t>
  </si>
  <si>
    <t>(M$)</t>
  </si>
  <si>
    <t>Inversiones (M$)</t>
  </si>
  <si>
    <t>Composición por instrumento</t>
  </si>
  <si>
    <t>Composición por tasas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</si>
  <si>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</si>
  <si>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</si>
  <si>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</si>
  <si>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</si>
  <si>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</si>
  <si>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</si>
  <si>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</si>
  <si>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Ganancia antes de impuestos</t>
  </si>
  <si>
    <t>Ganancia procedente de operaciones continuadas</t>
  </si>
  <si>
    <t>Ganancia atribuible a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</si>
  <si>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</si>
  <si>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</si>
  <si>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</si>
  <si>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</si>
  <si>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</si>
  <si>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</si>
  <si>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</si>
  <si>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</si>
  <si>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</si>
  <si>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</si>
  <si>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</si>
  <si>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</si>
  <si>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</si>
  <si>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</si>
  <si>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</si>
  <si>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</si>
  <si>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</si>
  <si>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</si>
  <si>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</si>
  <si>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</si>
  <si>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</si>
  <si>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</si>
  <si>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</si>
  <si>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 xml:space="preserve">      % Var.</t>
  </si>
  <si>
    <t>Pasivo por arrendamientos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</si>
  <si>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</si>
  <si>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</si>
  <si>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</si>
  <si>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</si>
  <si>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Otras (Pérdidas) Ganancias</t>
  </si>
  <si>
    <t>Control</t>
  </si>
  <si>
    <t>Saldos contables</t>
  </si>
  <si>
    <t>Anam S.A.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</si>
  <si>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</si>
  <si>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</si>
  <si>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</si>
  <si>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</si>
  <si>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</si>
  <si>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</si>
  <si>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</si>
  <si>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</si>
  <si>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</si>
  <si>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</si>
  <si>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</si>
  <si>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</si>
  <si>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</si>
  <si>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</si>
  <si>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</si>
  <si>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</si>
  <si>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</si>
  <si>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</si>
  <si>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</si>
  <si>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</si>
  <si>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</si>
  <si>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</si>
  <si>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</si>
  <si>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Operaciones discontinuadas</t>
  </si>
  <si>
    <t>&lt;(200%)</t>
  </si>
  <si>
    <t>Total otros pasivos financieros</t>
  </si>
  <si>
    <t>Total pasivos por arrendamiento</t>
  </si>
  <si>
    <t>&gt;200%</t>
  </si>
  <si>
    <t>Otras reservas</t>
  </si>
  <si>
    <t xml:space="preserve">Pérdidas por deterioro de valor </t>
  </si>
  <si>
    <t>4T20</t>
  </si>
  <si>
    <t>4T20 - 4T19</t>
  </si>
  <si>
    <t>Pérdidas por deterioro de valor</t>
  </si>
  <si>
    <t>4T21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</si>
  <si>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</si>
  <si>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</si>
  <si>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</si>
  <si>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</si>
  <si>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</si>
  <si>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Menor inversión</t>
  </si>
  <si>
    <t xml:space="preserve">Colocacion Bonos </t>
  </si>
  <si>
    <t xml:space="preserve">Mayor facturacion por consumo periodo verano </t>
  </si>
  <si>
    <t>Reclasificacion activacion Repuestos de Activo fijo</t>
  </si>
  <si>
    <t xml:space="preserve">Provisión intereses bonos - AFR </t>
  </si>
  <si>
    <t xml:space="preserve">Avance obra menor pago proveedores </t>
  </si>
  <si>
    <t>2T21</t>
  </si>
  <si>
    <t>2T22</t>
  </si>
  <si>
    <t>2T22 – 2T21</t>
  </si>
  <si>
    <t>Hidrogistica S.A.</t>
  </si>
  <si>
    <t>Acum dic 2022</t>
  </si>
  <si>
    <t>AR</t>
  </si>
  <si>
    <t xml:space="preserve">Derivado </t>
  </si>
  <si>
    <t xml:space="preserve">EUR </t>
  </si>
  <si>
    <t xml:space="preserve">Forward </t>
  </si>
  <si>
    <t>Gasto por depreciación y amortización</t>
  </si>
  <si>
    <t>Ganancias por deterioro y reversos de pérdidas por deterioro (Pérdidas por deterioro) determinado de acuerdo con NIIF 9  sobre activos financieros</t>
  </si>
  <si>
    <t>Costos financieros</t>
  </si>
  <si>
    <t>Resultado por unidades reajustables</t>
  </si>
  <si>
    <t>Gastos por impuestos a las ganancias</t>
  </si>
  <si>
    <t>Ganancia, atribuible a participaciones no controladoras</t>
  </si>
  <si>
    <t>Activos por impuestos corrientes</t>
  </si>
  <si>
    <t>Activos no corrientes mantenidos para la venta</t>
  </si>
  <si>
    <t>Propiedades, plantas y equipos</t>
  </si>
  <si>
    <t>Activos por impuestos diferidos</t>
  </si>
  <si>
    <t>Cuentas por pagar comerciales y otras cuentas por pagar</t>
  </si>
  <si>
    <t>Provisiones corrientes por beneficios a los empleados</t>
  </si>
  <si>
    <t>Pasivos incluidos en grupos de activos para su disposición clasificados como mantenidos para la venta</t>
  </si>
  <si>
    <t>Provisiones no corrientes por beneficios a los empleados</t>
  </si>
  <si>
    <t>Ganancias (perdidas) acumuladas</t>
  </si>
  <si>
    <t>Primas de emisión</t>
  </si>
  <si>
    <t>Otros activos no financieros no corrientes</t>
  </si>
  <si>
    <t>Otros activos financieros no corrientes</t>
  </si>
  <si>
    <t>Cuentas por pagar a entidades relacionadas no corrientes</t>
  </si>
  <si>
    <t>Otros pasivos financieros no corrientes</t>
  </si>
  <si>
    <t xml:space="preserve">Otros pasivos financieros </t>
  </si>
  <si>
    <t>Pasivos por arrendamientos no corrientes</t>
  </si>
  <si>
    <t>Otros pasivos no financieros no corrientes</t>
  </si>
  <si>
    <t>Otras provisiones no corrientes</t>
  </si>
  <si>
    <t>Acum dic 2023</t>
  </si>
  <si>
    <t>Ejercicio 2022</t>
  </si>
  <si>
    <t xml:space="preserve">Impuestos a las ganancias (pagados) </t>
  </si>
  <si>
    <t>Dividendos pagados - actividades de operación</t>
  </si>
  <si>
    <t>Dividendos recibidos - actividades de operación</t>
  </si>
  <si>
    <t>Intereses pagados - actividades de operación</t>
  </si>
  <si>
    <t>Intereses recibidos - actividades de operación</t>
  </si>
  <si>
    <t>Otras entradas (salidas) de efectivo - actividades de operación</t>
  </si>
  <si>
    <t>Importes procedentes de subvenciones del gobierno - inversión</t>
  </si>
  <si>
    <t>Impuestos a las ganancias reembolsados (pagados) - inversión</t>
  </si>
  <si>
    <t>Otras entradas (salidas) de efectivo - inversión</t>
  </si>
  <si>
    <t>Efectos de la variación en la tasa de cambio sobre el efectivo y equivalentes al efectivo.</t>
  </si>
  <si>
    <t>Interes minoritario</t>
  </si>
  <si>
    <t>Periodo dic 2023 - dic 2022</t>
  </si>
  <si>
    <t>Bonos/Derivado</t>
  </si>
  <si>
    <t>Interés Minoritario</t>
  </si>
  <si>
    <t>Mar.24</t>
  </si>
  <si>
    <t>Mar.23</t>
  </si>
  <si>
    <t xml:space="preserve">         Dic. 23</t>
  </si>
  <si>
    <t>2024 / 2023</t>
  </si>
  <si>
    <t>Aspectos financieros al 31-03-2024</t>
  </si>
  <si>
    <t>Renovación de redes de Aguas Servidas</t>
  </si>
  <si>
    <t>Arranques y Medidores</t>
  </si>
  <si>
    <t>Renovación de redes de Aguas Potable</t>
  </si>
  <si>
    <t>Sondajes y refuerzos de sistema de abastecimiento de agua</t>
  </si>
  <si>
    <t>Plan de Eficiencia Hidráulica</t>
  </si>
  <si>
    <t>Plan de Macromedición Pozos y Estanques</t>
  </si>
  <si>
    <t>Renovación Filtros Vizcachitas - Tagle</t>
  </si>
  <si>
    <t>Ampliación Planta Elevadora de Agua Potable Tocornal</t>
  </si>
  <si>
    <t>Obras Seguridad Conducción Manzano - Pirque</t>
  </si>
  <si>
    <t>Abastecimiento Til Til</t>
  </si>
  <si>
    <t>Otros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</si>
</sst>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86" formatCode="##,##0;\(##,##0\)"/>
    <numFmt numFmtId="188" formatCode="0.0%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199" formatCode="#,##0.000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70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9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0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1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12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6" fillId="3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9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6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7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15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6" fillId="7" borderId="0" applyNumberFormat="0" applyBorder="0" applyAlignment="0" applyProtection="0"/>
    <xf numFmtId="0" fontId="61" fillId="85" borderId="0" applyNumberFormat="0" applyBorder="0" applyAlignment="0" applyProtection="0"/>
    <xf numFmtId="0" fontId="62" fillId="85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6" borderId="0" applyNumberFormat="0" applyBorder="0" applyAlignment="0" applyProtection="0"/>
    <xf numFmtId="0" fontId="7" fillId="9" borderId="0" applyNumberFormat="0" applyBorder="0" applyAlignment="0" applyProtection="0"/>
    <xf numFmtId="0" fontId="63" fillId="87" borderId="0" applyNumberFormat="0" applyBorder="0" applyAlignment="0" applyProtection="0"/>
    <xf numFmtId="0" fontId="7" fillId="16" borderId="0" applyNumberFormat="0" applyBorder="0" applyAlignment="0" applyProtection="0"/>
    <xf numFmtId="0" fontId="63" fillId="88" borderId="0" applyNumberFormat="0" applyBorder="0" applyAlignment="0" applyProtection="0"/>
    <xf numFmtId="0" fontId="7" fillId="17" borderId="0" applyNumberFormat="0" applyBorder="0" applyAlignment="0" applyProtection="0"/>
    <xf numFmtId="0" fontId="63" fillId="89" borderId="0" applyNumberFormat="0" applyBorder="0" applyAlignment="0" applyProtection="0"/>
    <xf numFmtId="0" fontId="7" fillId="15" borderId="0" applyNumberFormat="0" applyBorder="0" applyAlignment="0" applyProtection="0"/>
    <xf numFmtId="0" fontId="63" fillId="90" borderId="0" applyNumberFormat="0" applyBorder="0" applyAlignment="0" applyProtection="0"/>
    <xf numFmtId="0" fontId="7" fillId="7" borderId="0" applyNumberFormat="0" applyBorder="0" applyAlignment="0" applyProtection="0"/>
    <xf numFmtId="0" fontId="63" fillId="9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94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6" fontId="2" fillId="0" borderId="0" applyFon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197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2" borderId="25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4" fillId="0" borderId="0"/>
    <xf numFmtId="164" fontId="1" fillId="0" borderId="0" applyFont="0" applyFill="0" applyBorder="0" applyAlignment="0" applyProtection="0"/>
    <xf numFmtId="41" fontId="84" fillId="0" borderId="0" applyFont="0" applyFill="0" applyBorder="0" applyAlignment="0" applyProtection="0"/>
  </cellStyleXfs>
  <cellXfs count="333">
    <xf numFmtId="0" fontId="0" fillId="0" borderId="0" xfId="0"/>
    <xf numFmtId="0" fontId="70" fillId="0" borderId="51" xfId="0" applyFont="1" applyBorder="1" applyAlignment="1">
      <alignment vertical="center"/>
    </xf>
    <xf numFmtId="0" fontId="71" fillId="0" borderId="29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198" fontId="72" fillId="0" borderId="0" xfId="828" applyNumberFormat="1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0" fontId="70" fillId="0" borderId="26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1" fillId="0" borderId="0" xfId="0" applyNumberFormat="1" applyFont="1" applyAlignment="1">
      <alignment horizontal="right" vertical="center"/>
    </xf>
    <xf numFmtId="3" fontId="68" fillId="0" borderId="0" xfId="0" applyNumberFormat="1" applyFont="1"/>
    <xf numFmtId="0" fontId="76" fillId="0" borderId="0" xfId="0" applyFont="1" applyAlignment="1">
      <alignment vertical="center"/>
    </xf>
    <xf numFmtId="0" fontId="72" fillId="0" borderId="0" xfId="0" applyFont="1" applyAlignment="1">
      <alignment horizontal="left"/>
    </xf>
    <xf numFmtId="201" fontId="72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0" fontId="74" fillId="0" borderId="0" xfId="1697" applyFont="1" applyAlignment="1">
      <alignment horizontal="left" indent="2"/>
    </xf>
    <xf numFmtId="0" fontId="72" fillId="0" borderId="0" xfId="1697" applyFont="1"/>
    <xf numFmtId="0" fontId="72" fillId="0" borderId="0" xfId="1697" applyFont="1" applyAlignment="1">
      <alignment vertical="center"/>
    </xf>
    <xf numFmtId="3" fontId="72" fillId="0" borderId="0" xfId="1697" applyNumberFormat="1" applyFont="1" applyAlignment="1">
      <alignment vertical="center"/>
    </xf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left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0" fillId="0" borderId="29" xfId="0" applyFont="1" applyBorder="1" applyAlignment="1">
      <alignment vertical="center"/>
    </xf>
    <xf numFmtId="0" fontId="81" fillId="0" borderId="0" xfId="0" applyFont="1"/>
    <xf numFmtId="3" fontId="81" fillId="0" borderId="0" xfId="0" applyNumberFormat="1" applyFont="1"/>
    <xf numFmtId="9" fontId="72" fillId="0" borderId="0" xfId="949" applyFont="1"/>
    <xf numFmtId="9" fontId="73" fillId="0" borderId="0" xfId="949" applyFont="1"/>
    <xf numFmtId="202" fontId="71" fillId="0" borderId="0" xfId="0" applyNumberFormat="1" applyFont="1" applyAlignment="1">
      <alignment horizontal="center" vertical="center"/>
    </xf>
    <xf numFmtId="0" fontId="70" fillId="0" borderId="26" xfId="0" applyFont="1" applyBorder="1"/>
    <xf numFmtId="186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9" fillId="0" borderId="51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14" fontId="85" fillId="73" borderId="39" xfId="903" applyNumberFormat="1" applyFont="1" applyFill="1" applyBorder="1" applyAlignment="1">
      <alignment horizontal="center" vertical="center"/>
    </xf>
    <xf numFmtId="14" fontId="85" fillId="73" borderId="40" xfId="903" applyNumberFormat="1" applyFont="1" applyFill="1" applyBorder="1" applyAlignment="1">
      <alignment horizontal="center" vertical="center"/>
    </xf>
    <xf numFmtId="203" fontId="85" fillId="73" borderId="45" xfId="903" applyNumberFormat="1" applyFont="1" applyFill="1" applyBorder="1" applyAlignment="1">
      <alignment horizontal="center" vertical="top"/>
    </xf>
    <xf numFmtId="203" fontId="85" fillId="73" borderId="46" xfId="903" applyNumberFormat="1" applyFont="1" applyFill="1" applyBorder="1" applyAlignment="1">
      <alignment horizontal="center" vertical="top"/>
    </xf>
    <xf numFmtId="203" fontId="85" fillId="0" borderId="44" xfId="903" applyNumberFormat="1" applyFont="1" applyBorder="1" applyAlignment="1">
      <alignment horizontal="left" vertical="center" indent="1"/>
    </xf>
    <xf numFmtId="203" fontId="86" fillId="0" borderId="1" xfId="903" quotePrefix="1" applyNumberFormat="1" applyFont="1" applyBorder="1" applyAlignment="1">
      <alignment horizontal="center" vertical="center"/>
    </xf>
    <xf numFmtId="203" fontId="86" fillId="0" borderId="1" xfId="903" applyNumberFormat="1" applyFont="1" applyBorder="1" applyAlignment="1">
      <alignment vertical="center"/>
    </xf>
    <xf numFmtId="203" fontId="86" fillId="0" borderId="35" xfId="903" applyNumberFormat="1" applyFont="1" applyBorder="1" applyAlignment="1">
      <alignment vertical="center"/>
    </xf>
    <xf numFmtId="203" fontId="86" fillId="0" borderId="44" xfId="903" applyNumberFormat="1" applyFont="1" applyBorder="1" applyAlignment="1">
      <alignment horizontal="left" vertical="center" indent="3"/>
    </xf>
    <xf numFmtId="203" fontId="86" fillId="0" borderId="1" xfId="903" applyNumberFormat="1" applyFont="1" applyBorder="1" applyAlignment="1">
      <alignment horizontal="center" vertical="center"/>
    </xf>
    <xf numFmtId="203" fontId="85" fillId="73" borderId="44" xfId="903" applyNumberFormat="1" applyFont="1" applyFill="1" applyBorder="1" applyAlignment="1">
      <alignment horizontal="left" vertical="center" wrapText="1"/>
    </xf>
    <xf numFmtId="203" fontId="85" fillId="73" borderId="1" xfId="903" applyNumberFormat="1" applyFont="1" applyFill="1" applyBorder="1" applyAlignment="1">
      <alignment horizontal="center" vertical="center"/>
    </xf>
    <xf numFmtId="203" fontId="85" fillId="93" borderId="44" xfId="903" applyNumberFormat="1" applyFont="1" applyFill="1" applyBorder="1" applyAlignment="1">
      <alignment horizontal="left" vertical="center"/>
    </xf>
    <xf numFmtId="203" fontId="85" fillId="0" borderId="1" xfId="903" applyNumberFormat="1" applyFont="1" applyBorder="1" applyAlignment="1">
      <alignment horizontal="center" vertical="center"/>
    </xf>
    <xf numFmtId="203" fontId="85" fillId="73" borderId="44" xfId="903" applyNumberFormat="1" applyFont="1" applyFill="1" applyBorder="1" applyAlignment="1">
      <alignment horizontal="left" vertical="center" indent="2"/>
    </xf>
    <xf numFmtId="203" fontId="85" fillId="73" borderId="47" xfId="903" applyNumberFormat="1" applyFont="1" applyFill="1" applyBorder="1" applyAlignment="1">
      <alignment horizontal="left" vertical="center" indent="2"/>
    </xf>
    <xf numFmtId="203" fontId="85" fillId="73" borderId="36" xfId="903" applyNumberFormat="1" applyFont="1" applyFill="1" applyBorder="1" applyAlignment="1">
      <alignment horizontal="center" vertical="center"/>
    </xf>
    <xf numFmtId="203" fontId="85" fillId="0" borderId="1" xfId="903" applyNumberFormat="1" applyFont="1" applyBorder="1" applyAlignment="1">
      <alignment horizontal="left" vertical="center" indent="2"/>
    </xf>
    <xf numFmtId="203" fontId="85" fillId="73" borderId="44" xfId="903" applyNumberFormat="1" applyFont="1" applyFill="1" applyBorder="1" applyAlignment="1">
      <alignment horizontal="left" vertical="center" wrapText="1" indent="2"/>
    </xf>
    <xf numFmtId="203" fontId="85" fillId="73" borderId="1" xfId="903" applyNumberFormat="1" applyFont="1" applyFill="1" applyBorder="1" applyAlignment="1">
      <alignment horizontal="left" vertical="center" indent="3"/>
    </xf>
    <xf numFmtId="203" fontId="85" fillId="73" borderId="44" xfId="903" applyNumberFormat="1" applyFont="1" applyFill="1" applyBorder="1" applyAlignment="1">
      <alignment horizontal="left" vertical="center" indent="1"/>
    </xf>
    <xf numFmtId="203" fontId="85" fillId="0" borderId="48" xfId="903" applyNumberFormat="1" applyFont="1" applyBorder="1" applyAlignment="1">
      <alignment vertical="center"/>
    </xf>
    <xf numFmtId="203" fontId="77" fillId="0" borderId="44" xfId="903" applyNumberFormat="1" applyFont="1" applyBorder="1" applyAlignment="1">
      <alignment horizontal="left" vertical="center" indent="3"/>
    </xf>
    <xf numFmtId="203" fontId="85" fillId="0" borderId="44" xfId="903" applyNumberFormat="1" applyFont="1" applyBorder="1" applyAlignment="1">
      <alignment horizontal="left" vertical="center" wrapText="1" indent="3"/>
    </xf>
    <xf numFmtId="203" fontId="86" fillId="0" borderId="44" xfId="903" applyNumberFormat="1" applyFont="1" applyBorder="1" applyAlignment="1">
      <alignment horizontal="left" vertical="center"/>
    </xf>
    <xf numFmtId="203" fontId="86" fillId="73" borderId="1" xfId="903" applyNumberFormat="1" applyFont="1" applyFill="1" applyBorder="1" applyAlignment="1">
      <alignment horizontal="center" vertical="center"/>
    </xf>
    <xf numFmtId="203" fontId="85" fillId="73" borderId="47" xfId="903" applyNumberFormat="1" applyFont="1" applyFill="1" applyBorder="1" applyAlignment="1">
      <alignment horizontal="left" vertical="center" indent="1"/>
    </xf>
    <xf numFmtId="203" fontId="85" fillId="73" borderId="36" xfId="903" applyNumberFormat="1" applyFont="1" applyFill="1" applyBorder="1" applyAlignment="1">
      <alignment horizontal="left" vertical="center" indent="3"/>
    </xf>
    <xf numFmtId="203" fontId="86" fillId="0" borderId="44" xfId="903" applyNumberFormat="1" applyFont="1" applyBorder="1" applyAlignment="1">
      <alignment vertical="center"/>
    </xf>
    <xf numFmtId="49" fontId="86" fillId="0" borderId="1" xfId="903" applyNumberFormat="1" applyFont="1" applyBorder="1" applyAlignment="1">
      <alignment horizontal="center" vertical="center"/>
    </xf>
    <xf numFmtId="0" fontId="86" fillId="0" borderId="44" xfId="903" applyFont="1" applyBorder="1" applyAlignment="1">
      <alignment vertical="center"/>
    </xf>
    <xf numFmtId="3" fontId="86" fillId="0" borderId="1" xfId="903" applyNumberFormat="1" applyFont="1" applyBorder="1" applyAlignment="1">
      <alignment vertical="center"/>
    </xf>
    <xf numFmtId="0" fontId="85" fillId="73" borderId="44" xfId="903" applyFont="1" applyFill="1" applyBorder="1" applyAlignment="1">
      <alignment vertical="center"/>
    </xf>
    <xf numFmtId="0" fontId="85" fillId="73" borderId="1" xfId="903" applyFont="1" applyFill="1" applyBorder="1" applyAlignment="1">
      <alignment horizontal="center" vertical="center"/>
    </xf>
    <xf numFmtId="3" fontId="85" fillId="73" borderId="1" xfId="903" applyNumberFormat="1" applyFont="1" applyFill="1" applyBorder="1" applyAlignment="1">
      <alignment vertical="center"/>
    </xf>
    <xf numFmtId="0" fontId="85" fillId="73" borderId="1" xfId="903" applyFont="1" applyFill="1" applyBorder="1" applyAlignment="1">
      <alignment horizontal="left" vertical="center" indent="3"/>
    </xf>
    <xf numFmtId="0" fontId="86" fillId="0" borderId="1" xfId="903" applyFont="1" applyBorder="1" applyAlignment="1">
      <alignment horizontal="center" vertical="center"/>
    </xf>
    <xf numFmtId="0" fontId="85" fillId="0" borderId="44" xfId="903" applyFont="1" applyBorder="1" applyAlignment="1">
      <alignment vertical="center" wrapText="1"/>
    </xf>
    <xf numFmtId="0" fontId="86" fillId="0" borderId="1" xfId="903" applyFont="1" applyBorder="1" applyAlignment="1">
      <alignment horizontal="left" vertical="center" indent="3"/>
    </xf>
    <xf numFmtId="3" fontId="86" fillId="0" borderId="1" xfId="903" applyNumberFormat="1" applyFont="1" applyBorder="1" applyAlignment="1">
      <alignment horizontal="center" vertical="center"/>
    </xf>
    <xf numFmtId="0" fontId="85" fillId="73" borderId="44" xfId="903" applyFont="1" applyFill="1" applyBorder="1" applyAlignment="1">
      <alignment vertical="center" wrapText="1"/>
    </xf>
    <xf numFmtId="3" fontId="85" fillId="95" borderId="1" xfId="903" applyNumberFormat="1" applyFont="1" applyFill="1" applyBorder="1" applyAlignment="1">
      <alignment vertical="center"/>
    </xf>
    <xf numFmtId="0" fontId="85" fillId="95" borderId="44" xfId="903" applyFont="1" applyFill="1" applyBorder="1" applyAlignment="1">
      <alignment vertical="center"/>
    </xf>
    <xf numFmtId="0" fontId="85" fillId="95" borderId="1" xfId="903" applyFont="1" applyFill="1" applyBorder="1" applyAlignment="1">
      <alignment horizontal="left" vertical="center" indent="3"/>
    </xf>
    <xf numFmtId="0" fontId="85" fillId="0" borderId="44" xfId="903" applyFont="1" applyBorder="1" applyAlignment="1">
      <alignment vertical="center"/>
    </xf>
    <xf numFmtId="3" fontId="86" fillId="0" borderId="0" xfId="903" applyNumberFormat="1" applyFont="1"/>
    <xf numFmtId="0" fontId="86" fillId="0" borderId="0" xfId="903" applyFont="1"/>
    <xf numFmtId="0" fontId="85" fillId="73" borderId="47" xfId="903" applyFont="1" applyFill="1" applyBorder="1" applyAlignment="1">
      <alignment vertical="center"/>
    </xf>
    <xf numFmtId="0" fontId="86" fillId="73" borderId="36" xfId="903" applyFont="1" applyFill="1" applyBorder="1" applyAlignment="1">
      <alignment horizontal="center" vertical="center"/>
    </xf>
    <xf numFmtId="199" fontId="85" fillId="73" borderId="36" xfId="903" applyNumberFormat="1" applyFont="1" applyFill="1" applyBorder="1" applyAlignment="1">
      <alignment vertical="center"/>
    </xf>
    <xf numFmtId="203" fontId="86" fillId="0" borderId="31" xfId="0" applyNumberFormat="1" applyFont="1" applyBorder="1" applyAlignment="1">
      <alignment horizontal="left" vertical="center" wrapText="1"/>
    </xf>
    <xf numFmtId="203" fontId="86" fillId="0" borderId="32" xfId="0" applyNumberFormat="1" applyFont="1" applyBorder="1" applyAlignment="1">
      <alignment horizontal="center" vertical="center" wrapText="1"/>
    </xf>
    <xf numFmtId="203" fontId="85" fillId="0" borderId="31" xfId="0" applyNumberFormat="1" applyFont="1" applyBorder="1" applyAlignment="1">
      <alignment horizontal="left" vertical="center" wrapText="1"/>
    </xf>
    <xf numFmtId="203" fontId="85" fillId="0" borderId="32" xfId="0" applyNumberFormat="1" applyFont="1" applyBorder="1" applyAlignment="1">
      <alignment horizontal="center" vertical="center" wrapText="1"/>
    </xf>
    <xf numFmtId="0" fontId="86" fillId="0" borderId="0" xfId="902" applyFont="1"/>
    <xf numFmtId="0" fontId="86" fillId="0" borderId="0" xfId="0" applyFont="1"/>
    <xf numFmtId="0" fontId="85" fillId="94" borderId="30" xfId="0" applyFont="1" applyFill="1" applyBorder="1" applyAlignment="1">
      <alignment horizontal="center" vertical="center"/>
    </xf>
    <xf numFmtId="0" fontId="85" fillId="94" borderId="34" xfId="0" applyFont="1" applyFill="1" applyBorder="1" applyAlignment="1">
      <alignment horizontal="center" vertical="center"/>
    </xf>
    <xf numFmtId="0" fontId="86" fillId="0" borderId="32" xfId="0" applyFont="1" applyBorder="1" applyAlignment="1">
      <alignment horizontal="center" vertical="center" wrapText="1"/>
    </xf>
    <xf numFmtId="3" fontId="86" fillId="0" borderId="0" xfId="0" applyNumberFormat="1" applyFont="1" applyAlignment="1">
      <alignment wrapText="1"/>
    </xf>
    <xf numFmtId="0" fontId="86" fillId="0" borderId="0" xfId="0" applyFont="1" applyAlignment="1">
      <alignment wrapText="1"/>
    </xf>
    <xf numFmtId="0" fontId="86" fillId="0" borderId="31" xfId="0" applyFont="1" applyBorder="1" applyAlignment="1">
      <alignment horizontal="left" vertical="center" wrapText="1"/>
    </xf>
    <xf numFmtId="0" fontId="85" fillId="93" borderId="31" xfId="0" applyFont="1" applyFill="1" applyBorder="1" applyAlignment="1">
      <alignment horizontal="left" vertical="center" wrapText="1"/>
    </xf>
    <xf numFmtId="0" fontId="86" fillId="93" borderId="32" xfId="0" applyFont="1" applyFill="1" applyBorder="1" applyAlignment="1">
      <alignment horizontal="center" vertical="center" wrapText="1"/>
    </xf>
    <xf numFmtId="0" fontId="85" fillId="93" borderId="32" xfId="0" applyFont="1" applyFill="1" applyBorder="1" applyAlignment="1">
      <alignment horizontal="center" vertical="center" wrapText="1"/>
    </xf>
    <xf numFmtId="0" fontId="85" fillId="93" borderId="31" xfId="0" applyFont="1" applyFill="1" applyBorder="1" applyAlignment="1">
      <alignment vertical="center" wrapText="1"/>
    </xf>
    <xf numFmtId="0" fontId="86" fillId="93" borderId="31" xfId="0" applyFont="1" applyFill="1" applyBorder="1" applyAlignment="1">
      <alignment horizontal="left" vertical="center" wrapText="1"/>
    </xf>
    <xf numFmtId="3" fontId="68" fillId="0" borderId="0" xfId="0" applyNumberFormat="1" applyFont="1" applyAlignment="1">
      <alignment wrapText="1"/>
    </xf>
    <xf numFmtId="0" fontId="85" fillId="93" borderId="41" xfId="0" applyFont="1" applyFill="1" applyBorder="1" applyAlignment="1">
      <alignment horizontal="left" vertical="center" wrapText="1"/>
    </xf>
    <xf numFmtId="0" fontId="85" fillId="93" borderId="38" xfId="0" applyFont="1" applyFill="1" applyBorder="1" applyAlignment="1">
      <alignment horizontal="center" vertical="center" wrapText="1"/>
    </xf>
    <xf numFmtId="0" fontId="86" fillId="0" borderId="0" xfId="902" applyFont="1" applyAlignment="1">
      <alignment horizontal="center"/>
    </xf>
    <xf numFmtId="0" fontId="85" fillId="0" borderId="0" xfId="903" applyFont="1"/>
    <xf numFmtId="3" fontId="86" fillId="0" borderId="0" xfId="902" applyNumberFormat="1" applyFont="1"/>
    <xf numFmtId="191" fontId="85" fillId="0" borderId="0" xfId="903" applyNumberFormat="1" applyFont="1" applyAlignment="1">
      <alignment horizontal="center" vertical="center"/>
    </xf>
    <xf numFmtId="192" fontId="85" fillId="0" borderId="0" xfId="903" applyNumberFormat="1" applyFont="1" applyAlignment="1">
      <alignment horizontal="center" vertical="top"/>
    </xf>
    <xf numFmtId="0" fontId="86" fillId="0" borderId="0" xfId="903" applyFont="1" applyAlignment="1">
      <alignment vertical="center"/>
    </xf>
    <xf numFmtId="3" fontId="86" fillId="0" borderId="0" xfId="903" applyNumberFormat="1" applyFont="1" applyAlignment="1">
      <alignment vertical="center"/>
    </xf>
    <xf numFmtId="3" fontId="85" fillId="0" borderId="0" xfId="903" applyNumberFormat="1" applyFont="1" applyAlignment="1">
      <alignment vertical="center"/>
    </xf>
    <xf numFmtId="0" fontId="89" fillId="0" borderId="0" xfId="903" applyFont="1"/>
    <xf numFmtId="3" fontId="85" fillId="0" borderId="0" xfId="903" applyNumberFormat="1" applyFont="1" applyAlignment="1">
      <alignment horizontal="right" vertical="center"/>
    </xf>
    <xf numFmtId="0" fontId="86" fillId="0" borderId="0" xfId="0" applyFont="1" applyAlignment="1">
      <alignment horizontal="left" vertical="center" indent="1"/>
    </xf>
    <xf numFmtId="0" fontId="86" fillId="0" borderId="0" xfId="0" applyFont="1" applyAlignment="1">
      <alignment horizontal="left" vertical="center" indent="2"/>
    </xf>
    <xf numFmtId="3" fontId="86" fillId="0" borderId="0" xfId="0" applyNumberFormat="1" applyFont="1" applyAlignment="1">
      <alignment vertical="center"/>
    </xf>
    <xf numFmtId="0" fontId="90" fillId="0" borderId="0" xfId="0" applyFont="1"/>
    <xf numFmtId="0" fontId="91" fillId="0" borderId="0" xfId="0" applyFont="1"/>
    <xf numFmtId="0" fontId="91" fillId="0" borderId="24" xfId="0" applyFont="1" applyBorder="1"/>
    <xf numFmtId="10" fontId="91" fillId="0" borderId="0" xfId="949" applyNumberFormat="1" applyFont="1"/>
    <xf numFmtId="10" fontId="91" fillId="0" borderId="0" xfId="0" applyNumberFormat="1" applyFont="1"/>
    <xf numFmtId="0" fontId="79" fillId="0" borderId="26" xfId="0" applyFont="1" applyBorder="1" applyAlignment="1">
      <alignment horizontal="center"/>
    </xf>
    <xf numFmtId="203" fontId="70" fillId="0" borderId="0" xfId="0" applyNumberFormat="1" applyFont="1" applyAlignment="1">
      <alignment horizontal="right" vertical="center"/>
    </xf>
    <xf numFmtId="203" fontId="71" fillId="0" borderId="0" xfId="0" applyNumberFormat="1" applyFont="1" applyAlignment="1">
      <alignment horizontal="right" vertical="center"/>
    </xf>
    <xf numFmtId="203" fontId="70" fillId="0" borderId="26" xfId="0" applyNumberFormat="1" applyFont="1" applyBorder="1" applyAlignment="1">
      <alignment horizontal="right" vertical="center"/>
    </xf>
    <xf numFmtId="0" fontId="85" fillId="0" borderId="31" xfId="0" applyFont="1" applyBorder="1" applyAlignment="1">
      <alignment horizontal="left" vertical="center" wrapText="1"/>
    </xf>
    <xf numFmtId="191" fontId="85" fillId="73" borderId="57" xfId="903" applyNumberFormat="1" applyFont="1" applyFill="1" applyBorder="1" applyAlignment="1">
      <alignment horizontal="center" vertical="center"/>
    </xf>
    <xf numFmtId="191" fontId="85" fillId="73" borderId="58" xfId="903" applyNumberFormat="1" applyFont="1" applyFill="1" applyBorder="1" applyAlignment="1">
      <alignment horizontal="center" vertical="center"/>
    </xf>
    <xf numFmtId="203" fontId="86" fillId="0" borderId="0" xfId="0" applyNumberFormat="1" applyFont="1" applyAlignment="1">
      <alignment wrapText="1"/>
    </xf>
    <xf numFmtId="203" fontId="91" fillId="0" borderId="44" xfId="903" applyNumberFormat="1" applyFont="1" applyBorder="1" applyAlignment="1">
      <alignment vertical="center"/>
    </xf>
    <xf numFmtId="204" fontId="86" fillId="0" borderId="1" xfId="903" applyNumberFormat="1" applyFont="1" applyBorder="1" applyAlignment="1">
      <alignment vertical="center"/>
    </xf>
    <xf numFmtId="0" fontId="91" fillId="0" borderId="31" xfId="876" applyFont="1" applyBorder="1" applyAlignment="1">
      <alignment horizontal="left" vertical="center" wrapText="1"/>
    </xf>
    <xf numFmtId="201" fontId="93" fillId="0" borderId="0" xfId="0" applyNumberFormat="1" applyFont="1"/>
    <xf numFmtId="165" fontId="86" fillId="0" borderId="0" xfId="902" applyNumberFormat="1" applyFont="1" applyAlignment="1">
      <alignment vertical="center"/>
    </xf>
    <xf numFmtId="165" fontId="88" fillId="97" borderId="59" xfId="903" applyNumberFormat="1" applyFont="1" applyFill="1" applyBorder="1" applyAlignment="1">
      <alignment vertical="center"/>
    </xf>
    <xf numFmtId="165" fontId="87" fillId="97" borderId="59" xfId="903" applyNumberFormat="1" applyFont="1" applyFill="1" applyBorder="1" applyAlignment="1">
      <alignment vertical="center"/>
    </xf>
    <xf numFmtId="165" fontId="88" fillId="97" borderId="59" xfId="902" applyNumberFormat="1" applyFont="1" applyFill="1" applyBorder="1" applyAlignment="1">
      <alignment vertical="center"/>
    </xf>
    <xf numFmtId="3" fontId="88" fillId="0" borderId="0" xfId="903" applyNumberFormat="1" applyFont="1"/>
    <xf numFmtId="202" fontId="88" fillId="0" borderId="0" xfId="949" applyNumberFormat="1" applyFont="1" applyFill="1" applyBorder="1" applyAlignment="1">
      <alignment vertical="center"/>
    </xf>
    <xf numFmtId="165" fontId="86" fillId="0" borderId="1" xfId="903" applyNumberFormat="1" applyFont="1" applyBorder="1" applyAlignment="1">
      <alignment vertical="center"/>
    </xf>
    <xf numFmtId="165" fontId="86" fillId="0" borderId="35" xfId="903" applyNumberFormat="1" applyFont="1" applyBorder="1" applyAlignment="1">
      <alignment vertical="center"/>
    </xf>
    <xf numFmtId="165" fontId="85" fillId="73" borderId="1" xfId="903" applyNumberFormat="1" applyFont="1" applyFill="1" applyBorder="1" applyAlignment="1">
      <alignment vertical="center"/>
    </xf>
    <xf numFmtId="165" fontId="85" fillId="73" borderId="35" xfId="903" applyNumberFormat="1" applyFont="1" applyFill="1" applyBorder="1" applyAlignment="1">
      <alignment vertical="center"/>
    </xf>
    <xf numFmtId="165" fontId="85" fillId="73" borderId="1" xfId="903" applyNumberFormat="1" applyFont="1" applyFill="1" applyBorder="1" applyAlignment="1">
      <alignment horizontal="right" vertical="center"/>
    </xf>
    <xf numFmtId="165" fontId="85" fillId="73" borderId="35" xfId="903" applyNumberFormat="1" applyFont="1" applyFill="1" applyBorder="1" applyAlignment="1">
      <alignment horizontal="right" vertical="center"/>
    </xf>
    <xf numFmtId="165" fontId="85" fillId="0" borderId="1" xfId="903" applyNumberFormat="1" applyFont="1" applyBorder="1" applyAlignment="1">
      <alignment vertical="center"/>
    </xf>
    <xf numFmtId="165" fontId="85" fillId="0" borderId="35" xfId="903" applyNumberFormat="1" applyFont="1" applyBorder="1" applyAlignment="1">
      <alignment vertical="center"/>
    </xf>
    <xf numFmtId="165" fontId="85" fillId="73" borderId="36" xfId="903" applyNumberFormat="1" applyFont="1" applyFill="1" applyBorder="1" applyAlignment="1">
      <alignment vertical="center"/>
    </xf>
    <xf numFmtId="165" fontId="85" fillId="73" borderId="37" xfId="903" applyNumberFormat="1" applyFont="1" applyFill="1" applyBorder="1" applyAlignment="1">
      <alignment vertical="center"/>
    </xf>
    <xf numFmtId="165" fontId="85" fillId="0" borderId="48" xfId="903" applyNumberFormat="1" applyFont="1" applyBorder="1" applyAlignment="1">
      <alignment vertical="center"/>
    </xf>
    <xf numFmtId="165" fontId="85" fillId="0" borderId="52" xfId="903" applyNumberFormat="1" applyFont="1" applyBorder="1" applyAlignment="1">
      <alignment vertical="center"/>
    </xf>
    <xf numFmtId="165" fontId="86" fillId="0" borderId="0" xfId="902" applyNumberFormat="1" applyFont="1"/>
    <xf numFmtId="202" fontId="88" fillId="0" borderId="0" xfId="902" applyNumberFormat="1" applyFont="1" applyAlignment="1">
      <alignment vertical="center"/>
    </xf>
    <xf numFmtId="202" fontId="88" fillId="0" borderId="0" xfId="902" applyNumberFormat="1" applyFont="1" applyAlignment="1">
      <alignment horizontal="center" vertical="center"/>
    </xf>
    <xf numFmtId="165" fontId="87" fillId="97" borderId="69" xfId="903" applyNumberFormat="1" applyFont="1" applyFill="1" applyBorder="1" applyAlignment="1">
      <alignment horizontal="center" vertical="center"/>
    </xf>
    <xf numFmtId="202" fontId="87" fillId="97" borderId="70" xfId="903" applyNumberFormat="1" applyFont="1" applyFill="1" applyBorder="1" applyAlignment="1">
      <alignment horizontal="center" vertical="center"/>
    </xf>
    <xf numFmtId="202" fontId="88" fillId="97" borderId="60" xfId="949" applyNumberFormat="1" applyFont="1" applyFill="1" applyBorder="1" applyAlignment="1">
      <alignment vertical="center"/>
    </xf>
    <xf numFmtId="165" fontId="87" fillId="97" borderId="63" xfId="903" applyNumberFormat="1" applyFont="1" applyFill="1" applyBorder="1" applyAlignment="1">
      <alignment vertical="center"/>
    </xf>
    <xf numFmtId="202" fontId="87" fillId="97" borderId="64" xfId="949" applyNumberFormat="1" applyFont="1" applyFill="1" applyBorder="1" applyAlignment="1">
      <alignment vertical="center"/>
    </xf>
    <xf numFmtId="202" fontId="88" fillId="97" borderId="60" xfId="903" applyNumberFormat="1" applyFont="1" applyFill="1" applyBorder="1" applyAlignment="1">
      <alignment vertical="center"/>
    </xf>
    <xf numFmtId="165" fontId="88" fillId="97" borderId="61" xfId="903" applyNumberFormat="1" applyFont="1" applyFill="1" applyBorder="1" applyAlignment="1">
      <alignment vertical="center"/>
    </xf>
    <xf numFmtId="202" fontId="88" fillId="97" borderId="62" xfId="903" applyNumberFormat="1" applyFont="1" applyFill="1" applyBorder="1" applyAlignment="1">
      <alignment vertical="center"/>
    </xf>
    <xf numFmtId="202" fontId="87" fillId="97" borderId="64" xfId="903" applyNumberFormat="1" applyFont="1" applyFill="1" applyBorder="1" applyAlignment="1">
      <alignment vertical="center"/>
    </xf>
    <xf numFmtId="165" fontId="87" fillId="97" borderId="65" xfId="903" applyNumberFormat="1" applyFont="1" applyFill="1" applyBorder="1" applyAlignment="1">
      <alignment horizontal="center" vertical="center"/>
    </xf>
    <xf numFmtId="202" fontId="87" fillId="97" borderId="66" xfId="0" applyNumberFormat="1" applyFont="1" applyFill="1" applyBorder="1" applyAlignment="1">
      <alignment horizontal="center" vertical="center"/>
    </xf>
    <xf numFmtId="202" fontId="88" fillId="97" borderId="60" xfId="0" applyNumberFormat="1" applyFont="1" applyFill="1" applyBorder="1" applyAlignment="1">
      <alignment horizontal="center" vertical="center" wrapText="1"/>
    </xf>
    <xf numFmtId="202" fontId="88" fillId="97" borderId="60" xfId="1699" applyNumberFormat="1" applyFont="1" applyFill="1" applyBorder="1" applyAlignment="1">
      <alignment horizontal="center" vertical="center" wrapText="1"/>
    </xf>
    <xf numFmtId="202" fontId="87" fillId="97" borderId="60" xfId="0" applyNumberFormat="1" applyFont="1" applyFill="1" applyBorder="1" applyAlignment="1">
      <alignment horizontal="center" vertical="center" wrapText="1"/>
    </xf>
    <xf numFmtId="202" fontId="87" fillId="97" borderId="64" xfId="0" applyNumberFormat="1" applyFont="1" applyFill="1" applyBorder="1" applyAlignment="1">
      <alignment horizontal="center" vertical="center" wrapText="1"/>
    </xf>
    <xf numFmtId="202" fontId="87" fillId="97" borderId="60" xfId="1699" applyNumberFormat="1" applyFont="1" applyFill="1" applyBorder="1" applyAlignment="1">
      <alignment horizontal="center" vertical="center" wrapText="1"/>
    </xf>
    <xf numFmtId="203" fontId="85" fillId="93" borderId="44" xfId="903" applyNumberFormat="1" applyFont="1" applyFill="1" applyBorder="1" applyAlignment="1">
      <alignment vertical="center"/>
    </xf>
    <xf numFmtId="203" fontId="85" fillId="93" borderId="1" xfId="903" applyNumberFormat="1" applyFont="1" applyFill="1" applyBorder="1" applyAlignment="1">
      <alignment vertical="center"/>
    </xf>
    <xf numFmtId="165" fontId="86" fillId="0" borderId="32" xfId="0" applyNumberFormat="1" applyFont="1" applyBorder="1" applyAlignment="1">
      <alignment horizontal="right" vertical="center" wrapText="1"/>
    </xf>
    <xf numFmtId="165" fontId="85" fillId="0" borderId="32" xfId="0" applyNumberFormat="1" applyFont="1" applyBorder="1" applyAlignment="1">
      <alignment horizontal="right" vertical="center" wrapText="1"/>
    </xf>
    <xf numFmtId="165" fontId="85" fillId="0" borderId="33" xfId="0" applyNumberFormat="1" applyFont="1" applyBorder="1" applyAlignment="1">
      <alignment horizontal="right" vertical="center" wrapText="1"/>
    </xf>
    <xf numFmtId="165" fontId="85" fillId="93" borderId="32" xfId="0" applyNumberFormat="1" applyFont="1" applyFill="1" applyBorder="1" applyAlignment="1">
      <alignment horizontal="right" vertical="center" wrapText="1"/>
    </xf>
    <xf numFmtId="165" fontId="85" fillId="93" borderId="32" xfId="0" applyNumberFormat="1" applyFont="1" applyFill="1" applyBorder="1" applyAlignment="1">
      <alignment vertical="center" wrapText="1"/>
    </xf>
    <xf numFmtId="165" fontId="86" fillId="93" borderId="32" xfId="0" applyNumberFormat="1" applyFont="1" applyFill="1" applyBorder="1" applyAlignment="1">
      <alignment horizontal="right" vertical="center" wrapText="1"/>
    </xf>
    <xf numFmtId="165" fontId="68" fillId="0" borderId="0" xfId="902" applyNumberFormat="1" applyFont="1"/>
    <xf numFmtId="0" fontId="79" fillId="0" borderId="51" xfId="0" applyFont="1" applyBorder="1" applyAlignment="1">
      <alignment horizontal="right" vertical="center"/>
    </xf>
    <xf numFmtId="0" fontId="79" fillId="0" borderId="51" xfId="0" applyFont="1" applyBorder="1" applyAlignment="1">
      <alignment horizontal="center" vertical="center"/>
    </xf>
    <xf numFmtId="165" fontId="76" fillId="0" borderId="0" xfId="1699" applyFont="1" applyAlignment="1">
      <alignment horizontal="right" vertical="center"/>
    </xf>
    <xf numFmtId="165" fontId="79" fillId="0" borderId="0" xfId="1699" applyFont="1" applyAlignment="1">
      <alignment horizontal="right" vertical="center"/>
    </xf>
    <xf numFmtId="165" fontId="91" fillId="96" borderId="0" xfId="1699" applyFont="1" applyFill="1"/>
    <xf numFmtId="165" fontId="69" fillId="96" borderId="0" xfId="1699" applyFont="1" applyFill="1"/>
    <xf numFmtId="0" fontId="90" fillId="93" borderId="24" xfId="0" applyFont="1" applyFill="1" applyBorder="1"/>
    <xf numFmtId="0" fontId="90" fillId="0" borderId="74" xfId="0" applyFont="1" applyBorder="1"/>
    <xf numFmtId="3" fontId="91" fillId="0" borderId="0" xfId="0" applyNumberFormat="1" applyFont="1"/>
    <xf numFmtId="3" fontId="90" fillId="0" borderId="0" xfId="0" applyNumberFormat="1" applyFont="1"/>
    <xf numFmtId="10" fontId="90" fillId="0" borderId="0" xfId="1698" applyNumberFormat="1" applyFont="1"/>
    <xf numFmtId="165" fontId="68" fillId="0" borderId="0" xfId="1699" applyFont="1"/>
    <xf numFmtId="202" fontId="87" fillId="0" borderId="0" xfId="902" applyNumberFormat="1" applyFont="1" applyAlignment="1">
      <alignment horizontal="center" vertical="center"/>
    </xf>
    <xf numFmtId="3" fontId="87" fillId="0" borderId="0" xfId="903" applyNumberFormat="1" applyFont="1" applyAlignment="1">
      <alignment horizontal="center" vertical="center"/>
    </xf>
    <xf numFmtId="202" fontId="87" fillId="0" borderId="0" xfId="903" applyNumberFormat="1" applyFont="1" applyAlignment="1">
      <alignment horizontal="center" vertical="center"/>
    </xf>
    <xf numFmtId="202" fontId="88" fillId="0" borderId="0" xfId="903" applyNumberFormat="1" applyFont="1" applyAlignment="1">
      <alignment vertical="center"/>
    </xf>
    <xf numFmtId="202" fontId="87" fillId="0" borderId="0" xfId="903" applyNumberFormat="1" applyFont="1" applyAlignment="1">
      <alignment vertical="center"/>
    </xf>
    <xf numFmtId="0" fontId="76" fillId="0" borderId="0" xfId="0" applyFont="1" applyAlignment="1">
      <alignment horizontal="right"/>
    </xf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201" fontId="69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203" fontId="70" fillId="0" borderId="24" xfId="0" applyNumberFormat="1" applyFont="1" applyBorder="1" applyAlignment="1">
      <alignment horizontal="right" vertical="center"/>
    </xf>
    <xf numFmtId="203" fontId="71" fillId="0" borderId="24" xfId="0" applyNumberFormat="1" applyFont="1" applyBorder="1" applyAlignment="1">
      <alignment horizontal="right" vertical="center"/>
    </xf>
    <xf numFmtId="165" fontId="70" fillId="0" borderId="0" xfId="1699" applyFont="1" applyAlignment="1">
      <alignment horizontal="right" vertical="center"/>
    </xf>
    <xf numFmtId="202" fontId="70" fillId="0" borderId="0" xfId="0" applyNumberFormat="1" applyFont="1" applyAlignment="1">
      <alignment horizontal="center" vertical="center"/>
    </xf>
    <xf numFmtId="3" fontId="94" fillId="0" borderId="0" xfId="902" applyNumberFormat="1" applyFont="1"/>
    <xf numFmtId="165" fontId="94" fillId="0" borderId="0" xfId="1699" applyFont="1" applyFill="1" applyBorder="1"/>
    <xf numFmtId="165" fontId="90" fillId="0" borderId="0" xfId="0" applyNumberFormat="1" applyFont="1" applyAlignment="1">
      <alignment horizontal="center"/>
    </xf>
    <xf numFmtId="0" fontId="90" fillId="0" borderId="0" xfId="0" applyFont="1" applyAlignment="1">
      <alignment horizontal="center"/>
    </xf>
    <xf numFmtId="17" fontId="90" fillId="0" borderId="0" xfId="0" applyNumberFormat="1" applyFont="1" applyAlignment="1">
      <alignment horizontal="center"/>
    </xf>
    <xf numFmtId="165" fontId="91" fillId="0" borderId="0" xfId="0" applyNumberFormat="1" applyFont="1"/>
    <xf numFmtId="165" fontId="91" fillId="0" borderId="24" xfId="0" applyNumberFormat="1" applyFont="1" applyBorder="1"/>
    <xf numFmtId="165" fontId="90" fillId="0" borderId="0" xfId="0" applyNumberFormat="1" applyFont="1"/>
    <xf numFmtId="0" fontId="92" fillId="0" borderId="0" xfId="0" applyFont="1"/>
    <xf numFmtId="165" fontId="90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7" fontId="90" fillId="0" borderId="0" xfId="0" applyNumberFormat="1" applyFont="1" applyAlignment="1">
      <alignment horizontal="center" vertical="center"/>
    </xf>
    <xf numFmtId="165" fontId="91" fillId="0" borderId="0" xfId="1699" applyFont="1"/>
    <xf numFmtId="0" fontId="85" fillId="96" borderId="0" xfId="0" applyFont="1" applyFill="1"/>
    <xf numFmtId="0" fontId="94" fillId="96" borderId="0" xfId="0" applyFont="1" applyFill="1" applyAlignment="1">
      <alignment horizontal="center"/>
    </xf>
    <xf numFmtId="165" fontId="95" fillId="96" borderId="0" xfId="1699" applyFont="1" applyFill="1"/>
    <xf numFmtId="0" fontId="86" fillId="98" borderId="0" xfId="0" applyFont="1" applyFill="1" applyAlignment="1">
      <alignment wrapText="1"/>
    </xf>
    <xf numFmtId="203" fontId="86" fillId="98" borderId="0" xfId="0" applyNumberFormat="1" applyFont="1" applyFill="1" applyAlignment="1">
      <alignment wrapText="1"/>
    </xf>
    <xf numFmtId="165" fontId="86" fillId="0" borderId="0" xfId="0" applyNumberFormat="1" applyFont="1" applyAlignment="1">
      <alignment wrapText="1"/>
    </xf>
    <xf numFmtId="188" fontId="91" fillId="0" borderId="0" xfId="1698" applyNumberFormat="1" applyFont="1"/>
    <xf numFmtId="0" fontId="70" fillId="0" borderId="51" xfId="0" applyFont="1" applyBorder="1" applyAlignment="1">
      <alignment horizontal="center" vertical="center"/>
    </xf>
    <xf numFmtId="188" fontId="72" fillId="0" borderId="0" xfId="0" applyNumberFormat="1" applyFont="1"/>
    <xf numFmtId="188" fontId="82" fillId="0" borderId="0" xfId="949" applyNumberFormat="1" applyFont="1" applyFill="1"/>
    <xf numFmtId="0" fontId="96" fillId="0" borderId="0" xfId="0" applyFont="1" applyAlignment="1">
      <alignment vertical="center" wrapText="1"/>
    </xf>
    <xf numFmtId="205" fontId="71" fillId="0" borderId="0" xfId="0" applyNumberFormat="1" applyFont="1"/>
    <xf numFmtId="165" fontId="88" fillId="98" borderId="59" xfId="903" applyNumberFormat="1" applyFont="1" applyFill="1" applyBorder="1" applyAlignment="1">
      <alignment vertical="center"/>
    </xf>
    <xf numFmtId="14" fontId="90" fillId="73" borderId="76" xfId="903" applyNumberFormat="1" applyFont="1" applyFill="1" applyBorder="1" applyAlignment="1">
      <alignment horizontal="center" vertical="center"/>
    </xf>
    <xf numFmtId="10" fontId="90" fillId="0" borderId="74" xfId="0" applyNumberFormat="1" applyFont="1" applyBorder="1"/>
    <xf numFmtId="10" fontId="70" fillId="0" borderId="0" xfId="949" applyNumberFormat="1" applyFont="1"/>
    <xf numFmtId="0" fontId="81" fillId="98" borderId="0" xfId="0" applyFont="1" applyFill="1"/>
    <xf numFmtId="3" fontId="81" fillId="98" borderId="0" xfId="0" applyNumberFormat="1" applyFont="1" applyFill="1"/>
    <xf numFmtId="10" fontId="81" fillId="98" borderId="0" xfId="949" applyNumberFormat="1" applyFont="1" applyFill="1"/>
    <xf numFmtId="10" fontId="81" fillId="0" borderId="0" xfId="949" applyNumberFormat="1" applyFont="1" applyFill="1"/>
    <xf numFmtId="10" fontId="72" fillId="0" borderId="0" xfId="0" applyNumberFormat="1" applyFont="1"/>
    <xf numFmtId="4" fontId="81" fillId="0" borderId="0" xfId="0" applyNumberFormat="1" applyFont="1"/>
    <xf numFmtId="10" fontId="82" fillId="0" borderId="0" xfId="949" applyNumberFormat="1" applyFont="1" applyFill="1"/>
    <xf numFmtId="165" fontId="72" fillId="0" borderId="0" xfId="0" applyNumberFormat="1" applyFont="1" applyAlignment="1">
      <alignment vertical="center"/>
    </xf>
    <xf numFmtId="202" fontId="72" fillId="0" borderId="0" xfId="0" applyNumberFormat="1" applyFont="1" applyAlignment="1">
      <alignment vertical="center"/>
    </xf>
    <xf numFmtId="202" fontId="71" fillId="0" borderId="0" xfId="0" applyNumberFormat="1" applyFont="1" applyAlignment="1">
      <alignment vertical="center"/>
    </xf>
    <xf numFmtId="202" fontId="70" fillId="0" borderId="0" xfId="0" applyNumberFormat="1" applyFont="1" applyAlignment="1">
      <alignment vertical="center"/>
    </xf>
    <xf numFmtId="165" fontId="72" fillId="0" borderId="0" xfId="1699" applyFont="1"/>
    <xf numFmtId="165" fontId="86" fillId="98" borderId="1" xfId="903" applyNumberFormat="1" applyFont="1" applyFill="1" applyBorder="1" applyAlignment="1">
      <alignment vertical="center"/>
    </xf>
    <xf numFmtId="0" fontId="70" fillId="99" borderId="26" xfId="0" applyFont="1" applyFill="1" applyBorder="1" applyAlignment="1">
      <alignment vertical="center"/>
    </xf>
    <xf numFmtId="0" fontId="70" fillId="99" borderId="26" xfId="0" applyFont="1" applyFill="1" applyBorder="1" applyAlignment="1">
      <alignment horizontal="center" vertical="center"/>
    </xf>
    <xf numFmtId="0" fontId="72" fillId="99" borderId="0" xfId="0" applyFont="1" applyFill="1"/>
    <xf numFmtId="3" fontId="76" fillId="99" borderId="0" xfId="0" applyNumberFormat="1" applyFont="1" applyFill="1" applyAlignment="1">
      <alignment horizontal="right" vertical="center"/>
    </xf>
    <xf numFmtId="0" fontId="72" fillId="99" borderId="0" xfId="0" applyFont="1" applyFill="1" applyAlignment="1">
      <alignment vertical="center"/>
    </xf>
    <xf numFmtId="201" fontId="69" fillId="99" borderId="0" xfId="0" applyNumberFormat="1" applyFont="1" applyFill="1" applyAlignment="1">
      <alignment horizontal="right" vertical="center"/>
    </xf>
    <xf numFmtId="202" fontId="69" fillId="99" borderId="0" xfId="0" applyNumberFormat="1" applyFont="1" applyFill="1" applyAlignment="1">
      <alignment horizontal="right" vertical="center"/>
    </xf>
    <xf numFmtId="201" fontId="78" fillId="99" borderId="0" xfId="0" applyNumberFormat="1" applyFont="1" applyFill="1" applyAlignment="1">
      <alignment horizontal="right" vertical="center"/>
    </xf>
    <xf numFmtId="202" fontId="78" fillId="99" borderId="0" xfId="0" applyNumberFormat="1" applyFont="1" applyFill="1" applyAlignment="1">
      <alignment horizontal="right" vertical="center"/>
    </xf>
    <xf numFmtId="3" fontId="72" fillId="99" borderId="0" xfId="0" applyNumberFormat="1" applyFont="1" applyFill="1" applyAlignment="1">
      <alignment vertical="center"/>
    </xf>
    <xf numFmtId="198" fontId="72" fillId="99" borderId="0" xfId="828" applyNumberFormat="1" applyFont="1" applyFill="1" applyAlignment="1">
      <alignment vertical="center"/>
    </xf>
    <xf numFmtId="3" fontId="68" fillId="99" borderId="0" xfId="0" applyNumberFormat="1" applyFont="1" applyFill="1"/>
    <xf numFmtId="0" fontId="68" fillId="99" borderId="0" xfId="0" applyFont="1" applyFill="1"/>
    <xf numFmtId="3" fontId="70" fillId="99" borderId="0" xfId="0" applyNumberFormat="1" applyFont="1" applyFill="1" applyAlignment="1">
      <alignment horizontal="right" vertical="center"/>
    </xf>
    <xf numFmtId="165" fontId="72" fillId="0" borderId="0" xfId="1699" applyFont="1" applyAlignment="1">
      <alignment vertical="center"/>
    </xf>
    <xf numFmtId="10" fontId="71" fillId="0" borderId="0" xfId="0" applyNumberFormat="1" applyFont="1" applyAlignment="1">
      <alignment horizontal="right"/>
    </xf>
    <xf numFmtId="0" fontId="75" fillId="0" borderId="0" xfId="0" applyFont="1"/>
    <xf numFmtId="0" fontId="79" fillId="0" borderId="0" xfId="0" applyFont="1" applyAlignment="1">
      <alignment horizontal="center" vertical="center"/>
    </xf>
    <xf numFmtId="188" fontId="76" fillId="0" borderId="0" xfId="0" applyNumberFormat="1" applyFont="1" applyAlignment="1">
      <alignment horizontal="right" vertical="center"/>
    </xf>
    <xf numFmtId="3" fontId="76" fillId="0" borderId="28" xfId="0" applyNumberFormat="1" applyFont="1" applyBorder="1" applyAlignment="1">
      <alignment horizontal="right" vertical="center"/>
    </xf>
    <xf numFmtId="188" fontId="76" fillId="0" borderId="28" xfId="0" applyNumberFormat="1" applyFont="1" applyBorder="1" applyAlignment="1">
      <alignment horizontal="right" vertical="center"/>
    </xf>
    <xf numFmtId="188" fontId="79" fillId="0" borderId="0" xfId="0" applyNumberFormat="1" applyFont="1" applyAlignment="1">
      <alignment horizontal="right" vertical="center"/>
    </xf>
    <xf numFmtId="165" fontId="68" fillId="0" borderId="0" xfId="1699" applyFont="1" applyFill="1" applyAlignment="1">
      <alignment vertical="center"/>
    </xf>
    <xf numFmtId="165" fontId="72" fillId="0" borderId="0" xfId="1699" applyFont="1" applyFill="1" applyAlignment="1">
      <alignment vertical="center"/>
    </xf>
    <xf numFmtId="2" fontId="71" fillId="98" borderId="0" xfId="0" applyNumberFormat="1" applyFont="1" applyFill="1"/>
    <xf numFmtId="0" fontId="71" fillId="98" borderId="0" xfId="0" applyFont="1" applyFill="1"/>
    <xf numFmtId="203" fontId="72" fillId="0" borderId="0" xfId="0" applyNumberFormat="1" applyFont="1"/>
    <xf numFmtId="0" fontId="79" fillId="99" borderId="0" xfId="0" applyFont="1" applyFill="1"/>
    <xf numFmtId="0" fontId="76" fillId="99" borderId="0" xfId="0" applyFont="1" applyFill="1" applyAlignment="1">
      <alignment vertical="center"/>
    </xf>
    <xf numFmtId="202" fontId="71" fillId="99" borderId="0" xfId="0" applyNumberFormat="1" applyFont="1" applyFill="1" applyAlignment="1">
      <alignment horizontal="right" vertical="center"/>
    </xf>
    <xf numFmtId="201" fontId="71" fillId="99" borderId="0" xfId="0" applyNumberFormat="1" applyFont="1" applyFill="1" applyAlignment="1">
      <alignment horizontal="right" vertical="center"/>
    </xf>
    <xf numFmtId="0" fontId="71" fillId="99" borderId="0" xfId="0" applyFont="1" applyFill="1" applyAlignment="1">
      <alignment horizontal="right" vertical="center"/>
    </xf>
    <xf numFmtId="0" fontId="77" fillId="99" borderId="0" xfId="0" applyFont="1" applyFill="1"/>
    <xf numFmtId="0" fontId="74" fillId="99" borderId="0" xfId="0" applyFont="1" applyFill="1" applyAlignment="1">
      <alignment horizontal="justify"/>
    </xf>
    <xf numFmtId="0" fontId="71" fillId="99" borderId="0" xfId="0" applyFont="1" applyFill="1" applyAlignment="1">
      <alignment vertical="center"/>
    </xf>
    <xf numFmtId="0" fontId="70" fillId="99" borderId="0" xfId="0" applyFont="1" applyFill="1" applyAlignment="1">
      <alignment vertical="center"/>
    </xf>
    <xf numFmtId="3" fontId="79" fillId="99" borderId="0" xfId="0" applyNumberFormat="1" applyFont="1" applyFill="1" applyAlignment="1">
      <alignment horizontal="right" vertical="center"/>
    </xf>
    <xf numFmtId="3" fontId="70" fillId="99" borderId="0" xfId="0" applyNumberFormat="1" applyFont="1" applyFill="1"/>
    <xf numFmtId="3" fontId="72" fillId="99" borderId="0" xfId="0" applyNumberFormat="1" applyFont="1" applyFill="1"/>
    <xf numFmtId="0" fontId="83" fillId="0" borderId="0" xfId="0" applyFont="1" applyAlignment="1">
      <alignment vertical="center"/>
    </xf>
    <xf numFmtId="0" fontId="79" fillId="0" borderId="51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70" fillId="99" borderId="0" xfId="0" applyFont="1" applyFill="1" applyAlignment="1">
      <alignment horizontal="center" vertical="center"/>
    </xf>
    <xf numFmtId="0" fontId="79" fillId="0" borderId="73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203" fontId="85" fillId="73" borderId="42" xfId="903" applyNumberFormat="1" applyFont="1" applyFill="1" applyBorder="1" applyAlignment="1">
      <alignment horizontal="left" vertical="center"/>
    </xf>
    <xf numFmtId="203" fontId="85" fillId="73" borderId="44" xfId="903" applyNumberFormat="1" applyFont="1" applyFill="1" applyBorder="1" applyAlignment="1">
      <alignment horizontal="left" vertical="center"/>
    </xf>
    <xf numFmtId="203" fontId="85" fillId="73" borderId="43" xfId="903" applyNumberFormat="1" applyFont="1" applyFill="1" applyBorder="1" applyAlignment="1">
      <alignment horizontal="center" vertical="center"/>
    </xf>
    <xf numFmtId="203" fontId="85" fillId="73" borderId="1" xfId="903" applyNumberFormat="1" applyFont="1" applyFill="1" applyBorder="1" applyAlignment="1">
      <alignment horizontal="center" vertical="center"/>
    </xf>
    <xf numFmtId="165" fontId="87" fillId="97" borderId="71" xfId="903" applyNumberFormat="1" applyFont="1" applyFill="1" applyBorder="1" applyAlignment="1">
      <alignment horizontal="center" vertical="center"/>
    </xf>
    <xf numFmtId="165" fontId="87" fillId="97" borderId="72" xfId="903" applyNumberFormat="1" applyFont="1" applyFill="1" applyBorder="1" applyAlignment="1">
      <alignment horizontal="center" vertical="center"/>
    </xf>
    <xf numFmtId="203" fontId="85" fillId="73" borderId="49" xfId="903" applyNumberFormat="1" applyFont="1" applyFill="1" applyBorder="1" applyAlignment="1">
      <alignment horizontal="left" vertical="center"/>
    </xf>
    <xf numFmtId="203" fontId="85" fillId="73" borderId="50" xfId="903" applyNumberFormat="1" applyFont="1" applyFill="1" applyBorder="1" applyAlignment="1">
      <alignment horizontal="left" vertical="center"/>
    </xf>
    <xf numFmtId="3" fontId="87" fillId="97" borderId="67" xfId="903" applyNumberFormat="1" applyFont="1" applyFill="1" applyBorder="1" applyAlignment="1">
      <alignment horizontal="center" vertical="center"/>
    </xf>
    <xf numFmtId="3" fontId="87" fillId="97" borderId="68" xfId="903" applyNumberFormat="1" applyFont="1" applyFill="1" applyBorder="1" applyAlignment="1">
      <alignment horizontal="center" vertical="center"/>
    </xf>
    <xf numFmtId="165" fontId="85" fillId="0" borderId="75" xfId="902" applyNumberFormat="1" applyFont="1" applyBorder="1" applyAlignment="1">
      <alignment horizontal="center"/>
    </xf>
    <xf numFmtId="0" fontId="85" fillId="94" borderId="56" xfId="0" applyFont="1" applyFill="1" applyBorder="1" applyAlignment="1">
      <alignment horizontal="left" vertical="center"/>
    </xf>
    <xf numFmtId="0" fontId="85" fillId="94" borderId="53" xfId="0" applyFont="1" applyFill="1" applyBorder="1" applyAlignment="1">
      <alignment horizontal="left" vertical="center"/>
    </xf>
    <xf numFmtId="0" fontId="85" fillId="94" borderId="54" xfId="0" applyFont="1" applyFill="1" applyBorder="1" applyAlignment="1">
      <alignment horizontal="center" vertical="center"/>
    </xf>
    <xf numFmtId="0" fontId="85" fillId="94" borderId="55" xfId="0" applyFont="1" applyFill="1" applyBorder="1" applyAlignment="1">
      <alignment horizontal="center" vertical="center"/>
    </xf>
  </cellXfs>
  <cellStyles count="1703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(%)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1172878392</c:v>
                </c:pt>
                <c:pt idx="1">
                  <c:v>109489402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Composición por instrumentos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(%)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v>Serie 1</c:v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1.8799255279744392E-2"/>
                  <c:y val="-1.999041846532286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E-4AEB-8816-0E9D4164445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Financiera'!$C$13:$C$17</c:f>
              <c:numCache>
                <c:formatCode>0.00%</c:formatCode>
                <c:ptCount val="5"/>
                <c:pt idx="0">
                  <c:v>0.13941999999999999</c:v>
                </c:pt>
                <c:pt idx="1">
                  <c:v>0.66746000000000005</c:v>
                </c:pt>
                <c:pt idx="2">
                  <c:v>0.18998999999999999</c:v>
                </c:pt>
                <c:pt idx="3">
                  <c:v>0</c:v>
                </c:pt>
                <c:pt idx="4">
                  <c:v>3.0999999999999999E-3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ser>
          <c:idx val="1"/>
          <c:order val="1"/>
          <c:tx>
            <c:v>Serie 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2-4923-9C1E-922558BB2C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2-4923-9C1E-922558BB2C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2-4923-9C1E-922558BB2C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2-4923-9C1E-922558BB2C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2-4923-9C1E-922558BB2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178784478.998</c:v>
                </c:pt>
                <c:pt idx="1">
                  <c:v>855926294</c:v>
                </c:pt>
                <c:pt idx="2">
                  <c:v>243638544</c:v>
                </c:pt>
                <c:pt idx="3">
                  <c:v>0</c:v>
                </c:pt>
                <c:pt idx="4">
                  <c:v>4018477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19</xdr:row>
      <xdr:rowOff>54426</xdr:rowOff>
    </xdr:from>
    <xdr:to>
      <xdr:col>6</xdr:col>
      <xdr:colOff>690789</xdr:colOff>
      <xdr:row>41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4\I%20Trimestre\02%20Notas\Consolidaci&#243;n\Segmento\Nota%20Segmento%20Aguas%20Andinas_03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4\I%20Trimestre\03%20An&#225;lisis%20Razonado\AA\Informaci&#243;n%20AA%20Analisis%20razonado%2003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4\I%20Trimestre\03%20An&#225;lisis%20Razonado\AA\Informaci&#243;n%20AA%20Analisis%20razonado%20032024v1.xlsx" TargetMode="External"/><Relationship Id="rId1" Type="http://schemas.openxmlformats.org/officeDocument/2006/relationships/externalLinkPath" Target="file:///\\srvnas\00_GCI\E&#176;F&#176;\2024\I%20Trimestre\03%20An&#225;lisis%20Razonado\AA\Informaci&#243;n%20AA%20Analisis%20razonado%20032024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os Aguas Andinas (2)"/>
      <sheetName val="Segmentos IAM"/>
      <sheetName val="Segmentos Aguas Andinas"/>
      <sheetName val="Hoja3"/>
      <sheetName val="Hoja2"/>
      <sheetName val="Principales Clientes 2019_Aguas"/>
      <sheetName val="Hoja1"/>
    </sheetNames>
    <sheetDataSet>
      <sheetData sheetId="0" refreshError="1"/>
      <sheetData sheetId="1" refreshError="1"/>
      <sheetData sheetId="2">
        <row r="6">
          <cell r="D6">
            <v>177892928</v>
          </cell>
          <cell r="E6">
            <v>11247264</v>
          </cell>
          <cell r="F6">
            <v>172060280</v>
          </cell>
          <cell r="G6">
            <v>9409064</v>
          </cell>
        </row>
        <row r="7">
          <cell r="D7">
            <v>330085</v>
          </cell>
          <cell r="E7">
            <v>2153901</v>
          </cell>
          <cell r="F7">
            <v>957336</v>
          </cell>
          <cell r="G7">
            <v>2014628</v>
          </cell>
        </row>
        <row r="9">
          <cell r="D9">
            <v>-18330625</v>
          </cell>
          <cell r="E9">
            <v>-3464213</v>
          </cell>
          <cell r="F9">
            <v>-22182888</v>
          </cell>
          <cell r="G9">
            <v>-3239784</v>
          </cell>
        </row>
        <row r="10">
          <cell r="D10">
            <v>-15164454</v>
          </cell>
          <cell r="E10">
            <v>-3582092</v>
          </cell>
          <cell r="F10">
            <v>-13627097</v>
          </cell>
          <cell r="G10">
            <v>-3029045</v>
          </cell>
        </row>
        <row r="11">
          <cell r="D11">
            <v>-36273597</v>
          </cell>
          <cell r="E11">
            <v>-3630426</v>
          </cell>
          <cell r="F11">
            <v>-33723817</v>
          </cell>
          <cell r="G11">
            <v>-3315901</v>
          </cell>
        </row>
        <row r="12">
          <cell r="D12">
            <v>-19395662</v>
          </cell>
          <cell r="E12">
            <v>-576885</v>
          </cell>
          <cell r="F12">
            <v>-18296837</v>
          </cell>
          <cell r="G12">
            <v>-528215</v>
          </cell>
        </row>
        <row r="13">
          <cell r="D13">
            <v>2660031</v>
          </cell>
          <cell r="E13">
            <v>490549</v>
          </cell>
          <cell r="F13">
            <v>-574155</v>
          </cell>
          <cell r="G13">
            <v>-37242</v>
          </cell>
        </row>
        <row r="14">
          <cell r="D14">
            <v>2014384</v>
          </cell>
          <cell r="E14">
            <v>77858</v>
          </cell>
          <cell r="F14">
            <v>5233098</v>
          </cell>
          <cell r="G14">
            <v>50566</v>
          </cell>
        </row>
        <row r="15">
          <cell r="D15">
            <v>-11510993</v>
          </cell>
          <cell r="E15">
            <v>-119085</v>
          </cell>
          <cell r="F15">
            <v>-11535750</v>
          </cell>
          <cell r="G15">
            <v>-217906</v>
          </cell>
        </row>
        <row r="16">
          <cell r="D16">
            <v>-4018035</v>
          </cell>
          <cell r="E16">
            <v>-7401</v>
          </cell>
          <cell r="F16">
            <v>-3133283</v>
          </cell>
          <cell r="G16">
            <v>14022</v>
          </cell>
        </row>
        <row r="17">
          <cell r="D17">
            <v>-8312514</v>
          </cell>
          <cell r="E17">
            <v>-46443</v>
          </cell>
          <cell r="F17">
            <v>-13276138</v>
          </cell>
          <cell r="G17">
            <v>18271</v>
          </cell>
        </row>
        <row r="19">
          <cell r="D19">
            <v>-16830167</v>
          </cell>
          <cell r="E19">
            <v>-694413</v>
          </cell>
          <cell r="F19">
            <v>-13742205</v>
          </cell>
          <cell r="G19">
            <v>-384065</v>
          </cell>
        </row>
        <row r="21">
          <cell r="D21">
            <v>53060454</v>
          </cell>
          <cell r="E21">
            <v>1848614</v>
          </cell>
          <cell r="F21">
            <v>48157725</v>
          </cell>
          <cell r="G21">
            <v>754393</v>
          </cell>
        </row>
        <row r="22">
          <cell r="D22">
            <v>927</v>
          </cell>
          <cell r="F22">
            <v>819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"/>
      <sheetName val="Pasivo"/>
      <sheetName val="Resultado"/>
      <sheetName val="Cambio Patrimonio"/>
      <sheetName val="Flujo"/>
      <sheetName val="N30 Segmentos"/>
    </sheetNames>
    <sheetDataSet>
      <sheetData sheetId="0" refreshError="1">
        <row r="2">
          <cell r="B2" t="str">
            <v>ACTIVOS</v>
          </cell>
          <cell r="C2" t="str">
            <v>Nota</v>
          </cell>
          <cell r="D2">
            <v>45382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ACTIVOS CORRIENTES</v>
          </cell>
        </row>
        <row r="5">
          <cell r="B5" t="str">
            <v>Efectivo y equivalentes al efectivo</v>
          </cell>
          <cell r="C5">
            <v>4</v>
          </cell>
          <cell r="D5">
            <v>93443367</v>
          </cell>
          <cell r="E5">
            <v>109156681</v>
          </cell>
        </row>
        <row r="6">
          <cell r="B6" t="str">
            <v>Otros activos financieros</v>
          </cell>
          <cell r="C6">
            <v>10</v>
          </cell>
          <cell r="D6">
            <v>6745327</v>
          </cell>
          <cell r="E6">
            <v>0</v>
          </cell>
        </row>
        <row r="7">
          <cell r="B7" t="str">
            <v>Otros activos no financieros</v>
          </cell>
          <cell r="D7">
            <v>6227902</v>
          </cell>
          <cell r="E7">
            <v>7180555</v>
          </cell>
        </row>
        <row r="8">
          <cell r="B8" t="str">
            <v>Deudores comerciales y otras cuentas por cobrar</v>
          </cell>
          <cell r="C8">
            <v>5</v>
          </cell>
          <cell r="D8">
            <v>141236310</v>
          </cell>
          <cell r="E8">
            <v>132007468</v>
          </cell>
        </row>
        <row r="9">
          <cell r="B9" t="str">
            <v>Cuentas por cobrar a entidades relacionadas</v>
          </cell>
          <cell r="C9">
            <v>6</v>
          </cell>
          <cell r="D9">
            <v>45529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12744522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10492977</v>
          </cell>
          <cell r="E11">
            <v>13829428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270935934</v>
          </cell>
          <cell r="E12">
            <v>275000996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D14">
            <v>270935934</v>
          </cell>
          <cell r="E14">
            <v>275004410</v>
          </cell>
        </row>
        <row r="15">
          <cell r="B15" t="str">
            <v>ACTIVOS NO CORRIENTES</v>
          </cell>
        </row>
        <row r="16">
          <cell r="B16" t="str">
            <v>Otros activos financieros no corrientes</v>
          </cell>
          <cell r="C16">
            <v>10</v>
          </cell>
          <cell r="D16">
            <v>7895863</v>
          </cell>
          <cell r="E16">
            <v>7895863</v>
          </cell>
        </row>
        <row r="17">
          <cell r="B17" t="str">
            <v>Otros activos no financieros no corrientes</v>
          </cell>
          <cell r="D17">
            <v>1880605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3798350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11</v>
          </cell>
          <cell r="D20">
            <v>231000327</v>
          </cell>
          <cell r="E20">
            <v>231747713</v>
          </cell>
        </row>
        <row r="21">
          <cell r="B21" t="str">
            <v>Plusvalía</v>
          </cell>
          <cell r="C21">
            <v>12</v>
          </cell>
          <cell r="D21">
            <v>33823049</v>
          </cell>
          <cell r="E21">
            <v>33823049</v>
          </cell>
        </row>
        <row r="22">
          <cell r="B22" t="str">
            <v>Propiedades, plantas y equipos</v>
          </cell>
          <cell r="C22">
            <v>13</v>
          </cell>
          <cell r="D22">
            <v>1813521728</v>
          </cell>
          <cell r="E22">
            <v>1805370932</v>
          </cell>
        </row>
        <row r="23">
          <cell r="B23" t="str">
            <v>Activos por derecho de uso</v>
          </cell>
          <cell r="C23">
            <v>14</v>
          </cell>
          <cell r="D23">
            <v>3800381</v>
          </cell>
          <cell r="E23">
            <v>4307072</v>
          </cell>
        </row>
        <row r="24">
          <cell r="B24" t="str">
            <v>Activos por impuestos diferidos</v>
          </cell>
          <cell r="C24">
            <v>15</v>
          </cell>
          <cell r="D24">
            <v>61058247</v>
          </cell>
          <cell r="E24">
            <v>59938069</v>
          </cell>
        </row>
        <row r="25">
          <cell r="B25" t="str">
            <v>Cuentas por cobrar a entidades relacionadas</v>
          </cell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D26">
            <v>2156778550</v>
          </cell>
          <cell r="E26">
            <v>2148343319</v>
          </cell>
        </row>
        <row r="28">
          <cell r="B28" t="str">
            <v>TOTAL DE ACTIVOS</v>
          </cell>
          <cell r="D28">
            <v>2427714484</v>
          </cell>
          <cell r="E28">
            <v>2423347729</v>
          </cell>
        </row>
      </sheetData>
      <sheetData sheetId="1" refreshError="1">
        <row r="2">
          <cell r="B2" t="str">
            <v>PASIVOS</v>
          </cell>
          <cell r="C2" t="str">
            <v>Nota</v>
          </cell>
          <cell r="D2">
            <v>45382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PASIVOS CORRIENTES</v>
          </cell>
        </row>
        <row r="5">
          <cell r="B5" t="str">
            <v xml:space="preserve">Otros pasivos financieros </v>
          </cell>
          <cell r="C5">
            <v>16</v>
          </cell>
          <cell r="D5">
            <v>156721040</v>
          </cell>
          <cell r="E5">
            <v>155416801</v>
          </cell>
        </row>
        <row r="6">
          <cell r="B6" t="str">
            <v>Pasivos por arrendamientos</v>
          </cell>
          <cell r="C6">
            <v>14</v>
          </cell>
          <cell r="D6">
            <v>1674228</v>
          </cell>
          <cell r="E6">
            <v>1752912</v>
          </cell>
        </row>
        <row r="7">
          <cell r="B7" t="str">
            <v>Cuentas por pagar comerciales y otras cuentas por pagar</v>
          </cell>
          <cell r="C7">
            <v>17</v>
          </cell>
          <cell r="D7">
            <v>129703474</v>
          </cell>
          <cell r="E7">
            <v>177288051</v>
          </cell>
        </row>
        <row r="8">
          <cell r="B8" t="str">
            <v>Cuentas por pagar a entidades relacionadas</v>
          </cell>
          <cell r="C8">
            <v>6</v>
          </cell>
          <cell r="D8">
            <v>1088691</v>
          </cell>
          <cell r="E8">
            <v>1578553</v>
          </cell>
        </row>
        <row r="9">
          <cell r="B9" t="str">
            <v>Otras provisiones</v>
          </cell>
          <cell r="C9">
            <v>18</v>
          </cell>
          <cell r="D9">
            <v>735780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90370</v>
          </cell>
          <cell r="E10">
            <v>240748</v>
          </cell>
        </row>
        <row r="11">
          <cell r="B11" t="str">
            <v>Provisiones corrientes por beneficios a los empleados</v>
          </cell>
          <cell r="C11">
            <v>19</v>
          </cell>
          <cell r="D11">
            <v>2769307</v>
          </cell>
          <cell r="E11">
            <v>5955720</v>
          </cell>
        </row>
        <row r="12">
          <cell r="B12" t="str">
            <v>Otros pasivos no financieros</v>
          </cell>
          <cell r="C12">
            <v>20</v>
          </cell>
          <cell r="D12">
            <v>20562473</v>
          </cell>
          <cell r="E12">
            <v>18699561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313345363</v>
          </cell>
          <cell r="E13">
            <v>361668126</v>
          </cell>
        </row>
        <row r="14">
          <cell r="B14" t="str">
            <v>Pasivos incluidos en grupos de activos para su disposición clasificados como mantenidos para la venta</v>
          </cell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D15">
            <v>313345363</v>
          </cell>
          <cell r="E15">
            <v>361668126</v>
          </cell>
        </row>
        <row r="16">
          <cell r="B16" t="str">
            <v>PASIVOS NO CORRIENTES</v>
          </cell>
        </row>
        <row r="17">
          <cell r="B17" t="str">
            <v>Otros pasivos financieros no corrientes</v>
          </cell>
          <cell r="C17">
            <v>16</v>
          </cell>
          <cell r="D17">
            <v>1121628277</v>
          </cell>
          <cell r="E17">
            <v>1125060897</v>
          </cell>
        </row>
        <row r="18">
          <cell r="B18" t="str">
            <v>Pasivos por arrendamientos no corrientes</v>
          </cell>
          <cell r="C18">
            <v>14</v>
          </cell>
          <cell r="D18">
            <v>2344249</v>
          </cell>
          <cell r="E18">
            <v>2762179</v>
          </cell>
        </row>
        <row r="19">
          <cell r="B19" t="str">
            <v>Otras cuentas por pagar</v>
          </cell>
          <cell r="C19">
            <v>17</v>
          </cell>
          <cell r="D19">
            <v>1176496</v>
          </cell>
          <cell r="E19">
            <v>1181870</v>
          </cell>
        </row>
        <row r="20">
          <cell r="B20" t="str">
            <v>Cuentas por pagar a entidades relacionadas no corrientes</v>
          </cell>
          <cell r="D20">
            <v>0</v>
          </cell>
          <cell r="E20">
            <v>0</v>
          </cell>
        </row>
        <row r="21">
          <cell r="B21" t="str">
            <v>Otras provisiones no corrientes</v>
          </cell>
          <cell r="C21">
            <v>18</v>
          </cell>
          <cell r="D21">
            <v>1839279</v>
          </cell>
          <cell r="E21">
            <v>1823379</v>
          </cell>
        </row>
        <row r="22">
          <cell r="B22" t="str">
            <v>Pasivo por impuestos diferidos</v>
          </cell>
          <cell r="C22">
            <v>15</v>
          </cell>
          <cell r="D22">
            <v>15129910</v>
          </cell>
          <cell r="E22">
            <v>14934780</v>
          </cell>
        </row>
        <row r="23">
          <cell r="B23" t="str">
            <v>Provisiones no corrientes por beneficios a los empleados</v>
          </cell>
          <cell r="C23">
            <v>19</v>
          </cell>
          <cell r="D23">
            <v>22264742</v>
          </cell>
          <cell r="E23">
            <v>22322555</v>
          </cell>
        </row>
        <row r="24">
          <cell r="B24" t="str">
            <v>Otros pasivos no financieros no corrientes</v>
          </cell>
          <cell r="C24">
            <v>20</v>
          </cell>
          <cell r="D24">
            <v>7721252</v>
          </cell>
          <cell r="E24">
            <v>7454645</v>
          </cell>
        </row>
        <row r="25">
          <cell r="B25" t="str">
            <v>TOTAL DE PASIVOS NO CORRIENTES</v>
          </cell>
          <cell r="D25">
            <v>1172104205</v>
          </cell>
          <cell r="E25">
            <v>1175540305</v>
          </cell>
        </row>
        <row r="27">
          <cell r="B27" t="str">
            <v>TOTAL PASIVOS</v>
          </cell>
          <cell r="D27">
            <v>1485449568</v>
          </cell>
          <cell r="E27">
            <v>1537208431</v>
          </cell>
        </row>
        <row r="28">
          <cell r="B28" t="str">
            <v>PATRIMONIO</v>
          </cell>
        </row>
        <row r="29">
          <cell r="B29" t="str">
            <v>Capital Emitido</v>
          </cell>
          <cell r="C29">
            <v>21</v>
          </cell>
          <cell r="D29">
            <v>155567354</v>
          </cell>
          <cell r="E29">
            <v>155567354</v>
          </cell>
        </row>
        <row r="30">
          <cell r="B30" t="str">
            <v>Ganancias (perdidas) acumuladas</v>
          </cell>
          <cell r="C30">
            <v>21</v>
          </cell>
          <cell r="D30">
            <v>465953228</v>
          </cell>
          <cell r="E30">
            <v>411044222</v>
          </cell>
        </row>
        <row r="31">
          <cell r="B31" t="str">
            <v>Primas de emisión</v>
          </cell>
          <cell r="C31">
            <v>21</v>
          </cell>
          <cell r="D31">
            <v>164064038</v>
          </cell>
          <cell r="E31">
            <v>164064038</v>
          </cell>
        </row>
        <row r="32">
          <cell r="B32" t="str">
            <v>Otras participaciones en el patrimonio</v>
          </cell>
          <cell r="C32">
            <v>21</v>
          </cell>
          <cell r="D32">
            <v>-5965550</v>
          </cell>
          <cell r="E32">
            <v>-5965550</v>
          </cell>
        </row>
        <row r="33">
          <cell r="B33" t="str">
            <v>Otras reservas</v>
          </cell>
          <cell r="C33">
            <v>21</v>
          </cell>
          <cell r="D33">
            <v>162613388</v>
          </cell>
          <cell r="E33">
            <v>161397766</v>
          </cell>
        </row>
        <row r="34">
          <cell r="B34" t="str">
            <v>Patrimonio atribuible a los propietarios de la controladora</v>
          </cell>
          <cell r="D34">
            <v>942232458</v>
          </cell>
          <cell r="E34">
            <v>886107830</v>
          </cell>
        </row>
        <row r="35">
          <cell r="B35" t="str">
            <v>Participaciones no controladoras</v>
          </cell>
          <cell r="C35">
            <v>22</v>
          </cell>
          <cell r="D35">
            <v>32458</v>
          </cell>
          <cell r="E35">
            <v>31468</v>
          </cell>
        </row>
        <row r="36">
          <cell r="B36" t="str">
            <v xml:space="preserve">PATRIMONIO TOTAL </v>
          </cell>
          <cell r="D36">
            <v>942264916</v>
          </cell>
          <cell r="E36">
            <v>886139298</v>
          </cell>
        </row>
        <row r="38">
          <cell r="B38" t="str">
            <v>TOTAL DE PATRIMONIO Y PASIVOS</v>
          </cell>
          <cell r="D38">
            <v>2427714484</v>
          </cell>
          <cell r="E38">
            <v>2423347729</v>
          </cell>
        </row>
      </sheetData>
      <sheetData sheetId="2" refreshError="1">
        <row r="4">
          <cell r="B4" t="str">
            <v>Ingresos de actividades ordinarias</v>
          </cell>
          <cell r="C4">
            <v>25</v>
          </cell>
          <cell r="D4">
            <v>189140192</v>
          </cell>
          <cell r="E4">
            <v>181469344</v>
          </cell>
        </row>
        <row r="5">
          <cell r="B5" t="str">
            <v>Materias primas y consumibles utilizados</v>
          </cell>
          <cell r="D5">
            <v>-21680487</v>
          </cell>
          <cell r="E5">
            <v>-25307191</v>
          </cell>
        </row>
        <row r="6">
          <cell r="B6" t="str">
            <v>Gastos por beneficios a los empleados</v>
          </cell>
          <cell r="C6">
            <v>19</v>
          </cell>
          <cell r="D6">
            <v>-18746545</v>
          </cell>
          <cell r="E6">
            <v>-16659811</v>
          </cell>
        </row>
        <row r="7">
          <cell r="B7" t="str">
            <v>Gasto por depreciación y amortización</v>
          </cell>
          <cell r="C7" t="str">
            <v>11-13-14</v>
          </cell>
          <cell r="D7">
            <v>-19972547</v>
          </cell>
          <cell r="E7">
            <v>-18825052</v>
          </cell>
        </row>
        <row r="8">
          <cell r="B8" t="str">
            <v>Otros gastos, por naturaleza</v>
          </cell>
          <cell r="C8">
            <v>26</v>
          </cell>
          <cell r="D8">
            <v>-37534389</v>
          </cell>
          <cell r="E8">
            <v>-34179568</v>
          </cell>
        </row>
        <row r="9">
          <cell r="B9" t="str">
            <v>Otras ganancias (pérdidas)</v>
          </cell>
          <cell r="C9">
            <v>27</v>
          </cell>
          <cell r="D9">
            <v>3150580</v>
          </cell>
          <cell r="E9">
            <v>-611396</v>
          </cell>
        </row>
        <row r="10">
          <cell r="B10" t="str">
            <v>Ganancias de actividades operacionales</v>
          </cell>
          <cell r="D10">
            <v>94356804</v>
          </cell>
          <cell r="E10">
            <v>85886326</v>
          </cell>
        </row>
        <row r="11">
          <cell r="B11" t="str">
            <v>Ingresos financieros</v>
          </cell>
          <cell r="C11">
            <v>27</v>
          </cell>
          <cell r="D11">
            <v>2018035</v>
          </cell>
          <cell r="E11">
            <v>5283665</v>
          </cell>
        </row>
        <row r="12">
          <cell r="B12" t="str">
            <v>Costos financieros</v>
          </cell>
          <cell r="C12">
            <v>27</v>
          </cell>
          <cell r="D12">
            <v>-11555871</v>
          </cell>
          <cell r="E12">
            <v>-11753656</v>
          </cell>
        </row>
        <row r="13">
          <cell r="B13" t="str">
            <v>Ganancias por deterioro y reversos de pérdidas por deterioro (Pérdidas por deterioro) determinado de acuerdo con NIIF 9  sobre activos financieros</v>
          </cell>
          <cell r="C13">
            <v>24</v>
          </cell>
          <cell r="D13">
            <v>-4025436</v>
          </cell>
          <cell r="E13">
            <v>-3119261</v>
          </cell>
        </row>
        <row r="14">
          <cell r="B14" t="str">
            <v>Ganancias (pérdidas) de cambio en moneda extranjera</v>
          </cell>
          <cell r="C14">
            <v>28</v>
          </cell>
          <cell r="D14">
            <v>-12300</v>
          </cell>
          <cell r="E14">
            <v>71449</v>
          </cell>
        </row>
        <row r="15">
          <cell r="B15" t="str">
            <v>Resultado por unidades reajustables</v>
          </cell>
          <cell r="C15">
            <v>29</v>
          </cell>
          <cell r="D15">
            <v>-8346657</v>
          </cell>
          <cell r="E15">
            <v>-13329316</v>
          </cell>
        </row>
        <row r="16">
          <cell r="B16" t="str">
            <v>Participación en las ganancias (pérdidas) de asociadas y negocion conjuntos</v>
          </cell>
          <cell r="D16">
            <v>0</v>
          </cell>
          <cell r="E16">
            <v>0</v>
          </cell>
        </row>
        <row r="17">
          <cell r="B17" t="str">
            <v>Ganancia antes de impuestos</v>
          </cell>
          <cell r="D17">
            <v>72434575</v>
          </cell>
          <cell r="E17">
            <v>63039207</v>
          </cell>
        </row>
        <row r="18">
          <cell r="B18" t="str">
            <v>Gastos por impuestos a las ganancias</v>
          </cell>
          <cell r="C18">
            <v>15</v>
          </cell>
          <cell r="D18">
            <v>-17524580</v>
          </cell>
          <cell r="E18">
            <v>-14126270</v>
          </cell>
        </row>
        <row r="19">
          <cell r="B19" t="str">
            <v>Ganancia procedente de operaciones continuadas</v>
          </cell>
          <cell r="D19">
            <v>54909995</v>
          </cell>
          <cell r="E19">
            <v>48912937</v>
          </cell>
        </row>
        <row r="20">
          <cell r="B20" t="str">
            <v>Ganancia (pérdida) procedente de operaciones discontinuadas</v>
          </cell>
          <cell r="C20">
            <v>29</v>
          </cell>
          <cell r="D20">
            <v>0</v>
          </cell>
          <cell r="E20">
            <v>0</v>
          </cell>
        </row>
        <row r="22">
          <cell r="B22" t="str">
            <v>Ganancia</v>
          </cell>
          <cell r="D22">
            <v>54909995</v>
          </cell>
          <cell r="E22">
            <v>48912937</v>
          </cell>
        </row>
        <row r="23">
          <cell r="B23" t="str">
            <v>Ganancia atribuible a</v>
          </cell>
        </row>
        <row r="24">
          <cell r="B24" t="str">
            <v>Ganancia atribuible a los propietarios de la controladora</v>
          </cell>
          <cell r="D24">
            <v>54909068</v>
          </cell>
          <cell r="E24">
            <v>48912118</v>
          </cell>
        </row>
        <row r="25">
          <cell r="B25" t="str">
            <v>Ganancia, atribuible a participaciones no controladoras</v>
          </cell>
          <cell r="C25">
            <v>22</v>
          </cell>
          <cell r="D25">
            <v>927</v>
          </cell>
          <cell r="E25">
            <v>819</v>
          </cell>
        </row>
        <row r="26">
          <cell r="B26" t="str">
            <v xml:space="preserve">Ganancia </v>
          </cell>
          <cell r="D26">
            <v>54909995</v>
          </cell>
          <cell r="E26">
            <v>48912937</v>
          </cell>
        </row>
        <row r="27">
          <cell r="B27" t="str">
            <v xml:space="preserve">Ganancias por acción </v>
          </cell>
        </row>
        <row r="28">
          <cell r="B28" t="str">
            <v>Ganancias por acción básica en operaciones continuadas ($)</v>
          </cell>
          <cell r="C28">
            <v>31</v>
          </cell>
          <cell r="D28">
            <v>8.9740000000000002</v>
          </cell>
          <cell r="E28">
            <v>7.9939999999999998</v>
          </cell>
        </row>
        <row r="29">
          <cell r="B29" t="str">
            <v>Ganancias por acción básica ($)</v>
          </cell>
          <cell r="D29">
            <v>8.9740000000000002</v>
          </cell>
          <cell r="E29">
            <v>7.9939999999999998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ivo"/>
      <sheetName val="Pasivo"/>
      <sheetName val="Resultado"/>
      <sheetName val="Cambio Patrimonio"/>
      <sheetName val="Flujo"/>
      <sheetName val="N30 Segmentos"/>
    </sheetNames>
    <sheetDataSet>
      <sheetData sheetId="0"/>
      <sheetData sheetId="1"/>
      <sheetData sheetId="2"/>
      <sheetData sheetId="3"/>
      <sheetData sheetId="4">
        <row r="5">
          <cell r="B5" t="str">
            <v>Cobros procedentes de las ventas de bienes y prestación de servicios</v>
          </cell>
          <cell r="C5"/>
          <cell r="D5">
            <v>209483331</v>
          </cell>
          <cell r="E5">
            <v>197428678</v>
          </cell>
        </row>
        <row r="6">
          <cell r="B6" t="str">
            <v>Cobros procedentes de regalías, cuotas, comisiones y otros ingresos de actividades ordinarias</v>
          </cell>
          <cell r="C6"/>
          <cell r="D6">
            <v>0</v>
          </cell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C7"/>
          <cell r="D7">
            <v>0</v>
          </cell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C8"/>
          <cell r="D8">
            <v>0</v>
          </cell>
          <cell r="E8">
            <v>0</v>
          </cell>
        </row>
        <row r="9">
          <cell r="B9" t="str">
            <v>Otros cobros por actividades de operación</v>
          </cell>
          <cell r="C9"/>
          <cell r="D9">
            <v>2092287</v>
          </cell>
          <cell r="E9">
            <v>1147934</v>
          </cell>
        </row>
        <row r="10">
          <cell r="B10" t="str">
            <v xml:space="preserve">Clases de cobros por actividades de operación </v>
          </cell>
          <cell r="C10"/>
          <cell r="D10">
            <v>211575618</v>
          </cell>
          <cell r="E10">
            <v>198576612</v>
          </cell>
        </row>
        <row r="11">
          <cell r="B11" t="str">
            <v>Pagos a proveedores por el suministro de bienes y servicios</v>
          </cell>
          <cell r="C11"/>
          <cell r="D11">
            <v>-80782172</v>
          </cell>
          <cell r="E11">
            <v>-71810147</v>
          </cell>
        </row>
        <row r="12">
          <cell r="B12" t="str">
            <v>Pagos procedentes de contratos mantenidos para intermediación o para negociar</v>
          </cell>
          <cell r="C12"/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C13"/>
          <cell r="D13">
            <v>-22815603</v>
          </cell>
          <cell r="E13">
            <v>-21286104</v>
          </cell>
        </row>
        <row r="14">
          <cell r="B14" t="str">
            <v>Pagos por primas y prestaciones, anualidades y otras obligaciones derivadas de las pólizas suscritas</v>
          </cell>
          <cell r="C14"/>
          <cell r="D14">
            <v>-1205961</v>
          </cell>
          <cell r="E14">
            <v>-1180684</v>
          </cell>
        </row>
        <row r="15">
          <cell r="B15" t="str">
            <v>Otros pagos por actividades de operación</v>
          </cell>
          <cell r="C15"/>
          <cell r="D15">
            <v>-14669022</v>
          </cell>
          <cell r="E15">
            <v>-14236027</v>
          </cell>
        </row>
        <row r="16">
          <cell r="B16" t="str">
            <v>Clases de pagos en efectivo procedentes de actividades de operación</v>
          </cell>
          <cell r="C16"/>
          <cell r="D16">
            <v>-119472758</v>
          </cell>
          <cell r="E16">
            <v>-108512962</v>
          </cell>
        </row>
        <row r="17">
          <cell r="B17" t="str">
            <v>Dividendos pagados - actividades de operación</v>
          </cell>
          <cell r="C17"/>
          <cell r="D17">
            <v>0</v>
          </cell>
          <cell r="E17">
            <v>0</v>
          </cell>
        </row>
        <row r="18">
          <cell r="B18" t="str">
            <v>Dividendos recibidos - actividades de operación</v>
          </cell>
          <cell r="C18"/>
          <cell r="D18">
            <v>0</v>
          </cell>
          <cell r="E18">
            <v>0</v>
          </cell>
        </row>
        <row r="19">
          <cell r="B19" t="str">
            <v>Intereses pagados - actividades de operación</v>
          </cell>
          <cell r="C19"/>
          <cell r="D19">
            <v>-7785475</v>
          </cell>
          <cell r="E19">
            <v>-8283047</v>
          </cell>
        </row>
        <row r="20">
          <cell r="B20" t="str">
            <v>Intereses recibidos - actividades de operación</v>
          </cell>
          <cell r="C20"/>
          <cell r="D20">
            <v>1575023</v>
          </cell>
          <cell r="E20">
            <v>4567051</v>
          </cell>
        </row>
        <row r="21">
          <cell r="B21" t="str">
            <v xml:space="preserve">Impuestos a las ganancias (pagados) </v>
          </cell>
          <cell r="C21"/>
          <cell r="D21">
            <v>-13225213</v>
          </cell>
          <cell r="E21">
            <v>-12520308</v>
          </cell>
        </row>
        <row r="22">
          <cell r="B22" t="str">
            <v>Otras entradas (salidas) de efectivo - actividades de operación</v>
          </cell>
          <cell r="C22"/>
          <cell r="D22">
            <v>-11225862</v>
          </cell>
          <cell r="E22">
            <v>-7216883</v>
          </cell>
        </row>
        <row r="23">
          <cell r="B23" t="str">
            <v xml:space="preserve">Flujos de efectivo procedente utilizados en operación </v>
          </cell>
          <cell r="C23"/>
          <cell r="D23">
            <v>-30661527</v>
          </cell>
          <cell r="E23">
            <v>-23453187</v>
          </cell>
        </row>
        <row r="24">
          <cell r="B24" t="str">
            <v>Flujos de efectivo procedentes de (utilizados en) actividades de operación</v>
          </cell>
          <cell r="C24"/>
          <cell r="D24">
            <v>61441333</v>
          </cell>
          <cell r="E24">
            <v>66610463</v>
          </cell>
        </row>
        <row r="25">
          <cell r="B25" t="str">
            <v>Flujos de efectivo procedentes de la pérdida de control de subsidiarias u otros negocios</v>
          </cell>
          <cell r="C25"/>
          <cell r="D25">
            <v>0</v>
          </cell>
          <cell r="E25">
            <v>0</v>
          </cell>
        </row>
        <row r="26">
          <cell r="B26" t="str">
            <v>Flujos de efectivo utilizados para obtener el control de subsidiarias u otros negocios</v>
          </cell>
          <cell r="C26"/>
          <cell r="D26">
            <v>0</v>
          </cell>
          <cell r="E26">
            <v>0</v>
          </cell>
        </row>
        <row r="27">
          <cell r="B27" t="str">
            <v>Flujos de efectivo utilizados en la compra de participaciones no controladoras</v>
          </cell>
          <cell r="C27"/>
          <cell r="D27">
            <v>0</v>
          </cell>
          <cell r="E27">
            <v>0</v>
          </cell>
        </row>
        <row r="28">
          <cell r="B28" t="str">
            <v>Otros cobros por la venta de patrimonio o instrumentos de deuda de otras entidades</v>
          </cell>
          <cell r="C28"/>
          <cell r="D28">
            <v>0</v>
          </cell>
          <cell r="E28">
            <v>0</v>
          </cell>
        </row>
        <row r="29">
          <cell r="B29" t="str">
            <v>Otros pagos para adquirir patrimonio o instrumentos de deuda de otras entidades</v>
          </cell>
          <cell r="C29"/>
          <cell r="D29">
            <v>0</v>
          </cell>
          <cell r="E29">
            <v>0</v>
          </cell>
        </row>
        <row r="30">
          <cell r="B30" t="str">
            <v>Otros cobros por la venta de participaciones en negocios conjuntos</v>
          </cell>
          <cell r="C30"/>
          <cell r="D30">
            <v>0</v>
          </cell>
          <cell r="E30">
            <v>0</v>
          </cell>
        </row>
        <row r="31">
          <cell r="B31" t="str">
            <v>Otros pagos para adquirir participaciones en negocios conjuntos</v>
          </cell>
          <cell r="C31"/>
          <cell r="D31">
            <v>0</v>
          </cell>
          <cell r="E31">
            <v>0</v>
          </cell>
        </row>
        <row r="32">
          <cell r="B32" t="str">
            <v>Préstamos a entidades relacionadas</v>
          </cell>
          <cell r="C32"/>
          <cell r="D32">
            <v>0</v>
          </cell>
          <cell r="E32">
            <v>0</v>
          </cell>
        </row>
        <row r="33">
          <cell r="B33" t="str">
            <v>Importes procedentes de ventas de propiedades, planta y equipo</v>
          </cell>
          <cell r="C33"/>
          <cell r="D33">
            <v>4032103</v>
          </cell>
          <cell r="E33">
            <v>4620568</v>
          </cell>
        </row>
        <row r="34">
          <cell r="B34" t="str">
            <v>Compras de propiedades, planta y equipo</v>
          </cell>
          <cell r="C34"/>
          <cell r="D34">
            <v>-65061543</v>
          </cell>
          <cell r="E34">
            <v>-35838645</v>
          </cell>
        </row>
        <row r="35">
          <cell r="B35" t="str">
            <v>Importes procedentes de ventas de activos intangibles</v>
          </cell>
          <cell r="C35"/>
          <cell r="D35">
            <v>0</v>
          </cell>
          <cell r="E35"/>
        </row>
        <row r="36">
          <cell r="B36" t="str">
            <v>Compras de activos intangibles</v>
          </cell>
          <cell r="C36"/>
          <cell r="D36">
            <v>-1218488</v>
          </cell>
          <cell r="E36">
            <v>-1727987</v>
          </cell>
        </row>
        <row r="37">
          <cell r="B37" t="str">
            <v>Recursos por ventas de otros activos a largo plazo</v>
          </cell>
          <cell r="C37"/>
          <cell r="D37">
            <v>0</v>
          </cell>
          <cell r="E37">
            <v>0</v>
          </cell>
        </row>
        <row r="38">
          <cell r="B38" t="str">
            <v>Compras de otros activos a largo plazo</v>
          </cell>
          <cell r="C38"/>
          <cell r="D38">
            <v>0</v>
          </cell>
          <cell r="E38">
            <v>0</v>
          </cell>
        </row>
        <row r="39">
          <cell r="B39" t="str">
            <v>Importes procedentes de subvenciones del gobierno - inversión</v>
          </cell>
          <cell r="C39"/>
          <cell r="D39">
            <v>0</v>
          </cell>
          <cell r="E39">
            <v>0</v>
          </cell>
        </row>
        <row r="40">
          <cell r="B40" t="str">
            <v>Anticipos de efectivo y préstamos concedidos a terceros</v>
          </cell>
          <cell r="C40"/>
          <cell r="D40">
            <v>0</v>
          </cell>
          <cell r="E40">
            <v>0</v>
          </cell>
        </row>
        <row r="41">
          <cell r="B41" t="str">
            <v>Cobros procedentes del reembolso de anticipos y préstamos concedidos a terceros</v>
          </cell>
          <cell r="C41"/>
          <cell r="D41">
            <v>0</v>
          </cell>
          <cell r="E41">
            <v>0</v>
          </cell>
        </row>
        <row r="42">
          <cell r="B42" t="str">
            <v>Pagos derivados de contratos de futuro, a término, de opciones y de permuta financiera</v>
          </cell>
          <cell r="C42"/>
          <cell r="D42">
            <v>0</v>
          </cell>
          <cell r="E42">
            <v>0</v>
          </cell>
        </row>
        <row r="43">
          <cell r="B43" t="str">
            <v>Cobros procedentes de contratos de futuro, a término, de opciones y de permuta financiera</v>
          </cell>
          <cell r="C43"/>
          <cell r="D43">
            <v>0</v>
          </cell>
          <cell r="E43">
            <v>0</v>
          </cell>
        </row>
        <row r="44">
          <cell r="B44" t="str">
            <v>Cobros a entidades relacionadas</v>
          </cell>
          <cell r="C44"/>
          <cell r="D44">
            <v>0</v>
          </cell>
          <cell r="E44">
            <v>0</v>
          </cell>
        </row>
        <row r="45">
          <cell r="B45" t="str">
            <v>Dividendos recibidos</v>
          </cell>
          <cell r="C45"/>
          <cell r="D45">
            <v>0</v>
          </cell>
          <cell r="E45">
            <v>0</v>
          </cell>
        </row>
        <row r="46">
          <cell r="B46" t="str">
            <v>Intereses recibidos</v>
          </cell>
          <cell r="C46"/>
          <cell r="D46">
            <v>0</v>
          </cell>
          <cell r="E46">
            <v>0</v>
          </cell>
        </row>
        <row r="47">
          <cell r="B47" t="str">
            <v>Impuestos a las ganancias reembolsados (pagados) - inversión</v>
          </cell>
          <cell r="C47"/>
          <cell r="D47">
            <v>0</v>
          </cell>
          <cell r="E47">
            <v>0</v>
          </cell>
        </row>
        <row r="48">
          <cell r="B48" t="str">
            <v>Otras entradas (salidas) de efectivo - inversión</v>
          </cell>
          <cell r="C48"/>
          <cell r="D48">
            <v>1</v>
          </cell>
          <cell r="E48">
            <v>16946</v>
          </cell>
        </row>
        <row r="49">
          <cell r="B49" t="str">
            <v>Flujos de efectivo procedentes de (utilizados en) actividades de inversión</v>
          </cell>
          <cell r="C49"/>
          <cell r="D49">
            <v>-62247927</v>
          </cell>
          <cell r="E49">
            <v>-32929118</v>
          </cell>
        </row>
        <row r="50">
          <cell r="B50" t="str">
            <v>Importes procedentes de la emisión de acciones</v>
          </cell>
          <cell r="C50"/>
          <cell r="D50">
            <v>0</v>
          </cell>
          <cell r="E50">
            <v>0</v>
          </cell>
        </row>
        <row r="51">
          <cell r="B51" t="str">
            <v>Importes procedentes de la emisión de otros instrumentos de patrimonio</v>
          </cell>
          <cell r="C51"/>
          <cell r="D51">
            <v>0</v>
          </cell>
          <cell r="E51">
            <v>0</v>
          </cell>
        </row>
        <row r="52">
          <cell r="B52" t="str">
            <v>Pagos por adquirir o rescatar las acciones de la entidad</v>
          </cell>
          <cell r="C52"/>
          <cell r="D52">
            <v>0</v>
          </cell>
          <cell r="E52">
            <v>0</v>
          </cell>
        </row>
        <row r="53">
          <cell r="B53" t="str">
            <v>Pagos por otras participaciones en el patrimonio</v>
          </cell>
          <cell r="C53"/>
          <cell r="D53">
            <v>0</v>
          </cell>
          <cell r="E53">
            <v>0</v>
          </cell>
        </row>
        <row r="54">
          <cell r="B54" t="str">
            <v>Importes procedentes de préstamos de largo plazo</v>
          </cell>
          <cell r="C54"/>
          <cell r="D54">
            <v>2771336</v>
          </cell>
          <cell r="E54">
            <v>2362359</v>
          </cell>
        </row>
        <row r="55">
          <cell r="B55" t="str">
            <v>Importes procedentes de préstamos de corto plazo</v>
          </cell>
          <cell r="C55"/>
          <cell r="D55">
            <v>0</v>
          </cell>
          <cell r="E55">
            <v>0</v>
          </cell>
        </row>
        <row r="56">
          <cell r="B56" t="str">
            <v>Importes procedentes de préstamos, clasificados como actividades de financiación</v>
          </cell>
          <cell r="C56"/>
          <cell r="D56">
            <v>2771336</v>
          </cell>
          <cell r="E56">
            <v>2362359</v>
          </cell>
        </row>
        <row r="57">
          <cell r="B57" t="str">
            <v>Préstamos de entidades relacionadas</v>
          </cell>
          <cell r="C57"/>
          <cell r="D57">
            <v>0</v>
          </cell>
          <cell r="E57">
            <v>0</v>
          </cell>
        </row>
        <row r="58">
          <cell r="B58" t="str">
            <v>Reembolsos de préstamos</v>
          </cell>
          <cell r="C58"/>
          <cell r="D58">
            <v>-16127161</v>
          </cell>
          <cell r="E58">
            <v>-20377161</v>
          </cell>
        </row>
        <row r="59">
          <cell r="B59" t="str">
            <v>Pagos de pasivos por arrendamientos financieros</v>
          </cell>
          <cell r="C59"/>
          <cell r="D59">
            <v>0</v>
          </cell>
          <cell r="E59">
            <v>0</v>
          </cell>
        </row>
        <row r="60">
          <cell r="B60" t="str">
            <v>Pagos de préstamos a entidades relacionadas</v>
          </cell>
          <cell r="C60"/>
          <cell r="D60">
            <v>0</v>
          </cell>
          <cell r="E60">
            <v>0</v>
          </cell>
        </row>
        <row r="61">
          <cell r="B61" t="str">
            <v>Importes procedentes de subvenciones del gobierno</v>
          </cell>
          <cell r="C61"/>
          <cell r="D61">
            <v>0</v>
          </cell>
          <cell r="E61">
            <v>0</v>
          </cell>
        </row>
        <row r="62">
          <cell r="B62" t="str">
            <v>Dividendos pagados</v>
          </cell>
          <cell r="C62"/>
          <cell r="D62">
            <v>-1550895</v>
          </cell>
          <cell r="E62">
            <v>-1851798</v>
          </cell>
        </row>
        <row r="63">
          <cell r="B63" t="str">
            <v>Intereses pagados</v>
          </cell>
          <cell r="C63"/>
          <cell r="D63">
            <v>0</v>
          </cell>
          <cell r="E63">
            <v>0</v>
          </cell>
        </row>
        <row r="64">
          <cell r="B64" t="str">
            <v>Impuestos a las ganancias reembolsados (pagados)</v>
          </cell>
          <cell r="C64"/>
          <cell r="D64">
            <v>0</v>
          </cell>
          <cell r="E64">
            <v>0</v>
          </cell>
        </row>
        <row r="65">
          <cell r="B65" t="str">
            <v>Otras entradas (salidas) de efectivo</v>
          </cell>
          <cell r="C65"/>
          <cell r="D65">
            <v>0</v>
          </cell>
          <cell r="E65">
            <v>0</v>
          </cell>
        </row>
        <row r="66">
          <cell r="B66" t="str">
            <v xml:space="preserve"> Flujos de efectivo procedentes de (utilizados en) actividades de financiación</v>
          </cell>
          <cell r="C66"/>
          <cell r="D66">
            <v>-14906720</v>
          </cell>
          <cell r="E66">
            <v>-19866600</v>
          </cell>
        </row>
        <row r="67">
          <cell r="B67" t="str">
            <v xml:space="preserve"> Incremento (disminución) en el efectivo y equivalentes al efectivo, antes del efecto de los cambios en la tasa de cambio </v>
          </cell>
          <cell r="C67"/>
          <cell r="D67">
            <v>-15713314</v>
          </cell>
          <cell r="E67">
            <v>13814745</v>
          </cell>
        </row>
        <row r="68">
          <cell r="B68" t="str">
            <v>Efectos de la variación en la tasa de cambio sobre el efectivo y equivalentes al efectivo</v>
          </cell>
          <cell r="C68"/>
          <cell r="D68"/>
          <cell r="E68"/>
        </row>
        <row r="69">
          <cell r="B69" t="str">
            <v>Efectos de la variación en la tasa de cambio sobre el efectivo y equivalentes al efectivo</v>
          </cell>
          <cell r="C69"/>
          <cell r="D69">
            <v>0</v>
          </cell>
          <cell r="E69"/>
        </row>
        <row r="70">
          <cell r="B70" t="str">
            <v>Incremento (disminución) neto de efectivo y equivalentes al efectivo</v>
          </cell>
          <cell r="C70"/>
          <cell r="D70">
            <v>-15713314</v>
          </cell>
          <cell r="E70">
            <v>13814745</v>
          </cell>
        </row>
        <row r="71">
          <cell r="B71" t="str">
            <v>Efectivo y equivalentes al efectivo al principio del periodo</v>
          </cell>
          <cell r="C71"/>
          <cell r="D71">
            <v>109156681</v>
          </cell>
          <cell r="E71">
            <v>179335341</v>
          </cell>
        </row>
        <row r="72">
          <cell r="B72" t="str">
            <v>Efectivo y equivalentes al efectivo al final del periodo</v>
          </cell>
          <cell r="C72">
            <v>4</v>
          </cell>
          <cell r="D72">
            <v>93443367</v>
          </cell>
          <cell r="E72">
            <v>193150086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92D050"/>
  </sheetPr>
  <dimension ref="A2:I69"/>
  <sheetViews>
    <sheetView showGridLines="0" topLeftCell="A49" zoomScale="90" zoomScaleNormal="90" workbookViewId="0">
      <selection activeCell="G65" sqref="G65"/>
    </sheetView>
  </sheetViews>
  <sheetFormatPr baseColWidth="10" defaultColWidth="11.453125" defaultRowHeight="13"/>
  <cols>
    <col min="1" max="1" width="10.453125" style="108" customWidth="1"/>
    <col min="2" max="2" width="56.54296875" style="126" customWidth="1"/>
    <col min="3" max="3" width="7.54296875" style="126" customWidth="1"/>
    <col min="4" max="5" width="14.453125" style="126" customWidth="1"/>
    <col min="6" max="6" width="8" style="126" customWidth="1"/>
    <col min="7" max="7" width="12.54296875" style="154" bestFit="1" customWidth="1"/>
    <col min="8" max="8" width="11.453125" style="159"/>
    <col min="9" max="9" width="11.453125" style="108"/>
    <col min="10" max="10" width="13" style="108" bestFit="1" customWidth="1"/>
    <col min="11" max="16384" width="11.453125" style="108"/>
  </cols>
  <sheetData>
    <row r="2" spans="1:9" ht="21.75" customHeight="1" thickBot="1"/>
    <row r="3" spans="1:9" s="99" customFormat="1" ht="18" customHeight="1">
      <c r="A3" s="125"/>
      <c r="B3" s="318" t="s">
        <v>28</v>
      </c>
      <c r="C3" s="320" t="s">
        <v>29</v>
      </c>
      <c r="D3" s="54">
        <v>45291</v>
      </c>
      <c r="E3" s="55">
        <v>44926</v>
      </c>
      <c r="F3" s="127"/>
      <c r="G3" s="322" t="s">
        <v>158</v>
      </c>
      <c r="H3" s="323"/>
    </row>
    <row r="4" spans="1:9" s="99" customFormat="1" ht="18" customHeight="1">
      <c r="A4" s="100"/>
      <c r="B4" s="319"/>
      <c r="C4" s="321"/>
      <c r="D4" s="56" t="s">
        <v>5</v>
      </c>
      <c r="E4" s="57" t="s">
        <v>5</v>
      </c>
      <c r="F4" s="128"/>
      <c r="G4" s="175" t="s">
        <v>5</v>
      </c>
      <c r="H4" s="176" t="s">
        <v>15</v>
      </c>
    </row>
    <row r="5" spans="1:9" s="99" customFormat="1" ht="21" customHeight="1">
      <c r="A5" s="100"/>
      <c r="B5" s="58" t="s">
        <v>30</v>
      </c>
      <c r="C5" s="59"/>
      <c r="D5" s="60"/>
      <c r="E5" s="61"/>
      <c r="F5" s="129"/>
      <c r="G5" s="155"/>
      <c r="H5" s="177"/>
    </row>
    <row r="6" spans="1:9" s="99" customFormat="1" ht="21" customHeight="1">
      <c r="A6" s="100"/>
      <c r="B6" s="62" t="s">
        <v>31</v>
      </c>
      <c r="C6" s="59">
        <f>+VLOOKUP(B6,[3]Activo!$B$2:$E$28,2,0)</f>
        <v>4</v>
      </c>
      <c r="D6" s="160">
        <f>+VLOOKUP(B6,[3]Activo!$B$2:$E$28,3,0)</f>
        <v>93443367</v>
      </c>
      <c r="E6" s="160">
        <f>+VLOOKUP(B6,[3]Activo!$B$2:$E$28,4,0)</f>
        <v>109156681</v>
      </c>
      <c r="F6" s="130"/>
      <c r="G6" s="155">
        <f>ROUND(+(D6-E6),0)</f>
        <v>-15713314</v>
      </c>
      <c r="H6" s="177">
        <f>IFERROR(G6/E6,1)</f>
        <v>-0.14395192173349425</v>
      </c>
      <c r="I6" s="99" t="s">
        <v>248</v>
      </c>
    </row>
    <row r="7" spans="1:9" s="99" customFormat="1" ht="21" customHeight="1">
      <c r="A7" s="100"/>
      <c r="B7" s="62" t="s">
        <v>166</v>
      </c>
      <c r="C7" s="59">
        <f>+VLOOKUP(B7,[3]Activo!$B$2:$E$28,2,0)</f>
        <v>10</v>
      </c>
      <c r="D7" s="160">
        <f>+VLOOKUP(B7,[3]Activo!$B$2:$E$28,3,0)</f>
        <v>6745327</v>
      </c>
      <c r="E7" s="160">
        <f>+VLOOKUP(B7,[3]Activo!$B$2:$E$28,4,0)</f>
        <v>0</v>
      </c>
      <c r="F7" s="130"/>
      <c r="G7" s="155">
        <f t="shared" ref="G7:G14" si="0">ROUND(+(D7-E7),0)</f>
        <v>6745327</v>
      </c>
      <c r="H7" s="177">
        <f t="shared" ref="H7:H54" si="1">IFERROR(G7/E7,1)</f>
        <v>1</v>
      </c>
      <c r="I7" s="99" t="s">
        <v>249</v>
      </c>
    </row>
    <row r="8" spans="1:9" s="99" customFormat="1" ht="21" customHeight="1">
      <c r="A8" s="100"/>
      <c r="B8" s="62" t="s">
        <v>32</v>
      </c>
      <c r="C8" s="59" t="e">
        <f>+VLOOKUP(B8,[3]Activo!$B$2:$E$28,2,0)</f>
        <v>#REF!</v>
      </c>
      <c r="D8" s="160">
        <f>+VLOOKUP(B8,[3]Activo!$B$2:$E$28,3,0)</f>
        <v>6227902</v>
      </c>
      <c r="E8" s="160">
        <f>+VLOOKUP(B8,[3]Activo!$B$2:$E$28,4,0)</f>
        <v>7180555</v>
      </c>
      <c r="F8" s="130"/>
      <c r="G8" s="155">
        <f t="shared" si="0"/>
        <v>-952653</v>
      </c>
      <c r="H8" s="177">
        <f t="shared" si="1"/>
        <v>-0.13267122109641943</v>
      </c>
      <c r="I8" s="158"/>
    </row>
    <row r="9" spans="1:9" s="99" customFormat="1" ht="21" customHeight="1">
      <c r="A9" s="100"/>
      <c r="B9" s="62" t="s">
        <v>33</v>
      </c>
      <c r="C9" s="59">
        <f>+VLOOKUP(B9,[3]Activo!$B$2:$E$28,2,0)</f>
        <v>5</v>
      </c>
      <c r="D9" s="160">
        <f>+VLOOKUP(B9,[3]Activo!$B$2:$E$28,3,0)</f>
        <v>141236310</v>
      </c>
      <c r="E9" s="160">
        <f>+VLOOKUP(B9,[3]Activo!$B$2:$E$28,4,0)</f>
        <v>132007468</v>
      </c>
      <c r="F9" s="130"/>
      <c r="G9" s="155">
        <f t="shared" si="0"/>
        <v>9228842</v>
      </c>
      <c r="H9" s="177">
        <f t="shared" si="1"/>
        <v>6.9911514400079242E-2</v>
      </c>
      <c r="I9" s="99" t="s">
        <v>250</v>
      </c>
    </row>
    <row r="10" spans="1:9" s="99" customFormat="1" ht="21" customHeight="1">
      <c r="A10" s="100"/>
      <c r="B10" s="62" t="s">
        <v>34</v>
      </c>
      <c r="C10" s="59">
        <f>+VLOOKUP(B10,[3]Activo!$B$2:$E$28,2,0)</f>
        <v>6</v>
      </c>
      <c r="D10" s="160">
        <f>+VLOOKUP(B10,[3]Activo!$B$2:$E$28,3,0)</f>
        <v>45529</v>
      </c>
      <c r="E10" s="160">
        <f>+VLOOKUP(B10,[3]Activo!$B$2:$E$28,4,0)</f>
        <v>14381</v>
      </c>
      <c r="F10" s="130"/>
      <c r="G10" s="155">
        <f t="shared" si="0"/>
        <v>31148</v>
      </c>
      <c r="H10" s="177">
        <f t="shared" si="1"/>
        <v>2.1659133579027885</v>
      </c>
    </row>
    <row r="11" spans="1:9" s="99" customFormat="1" ht="21" customHeight="1">
      <c r="A11" s="100"/>
      <c r="B11" s="62" t="s">
        <v>35</v>
      </c>
      <c r="C11" s="59">
        <f>+VLOOKUP(B11,[3]Activo!$B$2:$E$28,2,0)</f>
        <v>7</v>
      </c>
      <c r="D11" s="160">
        <f>+VLOOKUP(B11,[3]Activo!$B$2:$E$28,3,0)</f>
        <v>12744522</v>
      </c>
      <c r="E11" s="160">
        <f>+VLOOKUP(B11,[3]Activo!$B$2:$E$28,4,0)</f>
        <v>12812483</v>
      </c>
      <c r="F11" s="130"/>
      <c r="G11" s="155">
        <f t="shared" si="0"/>
        <v>-67961</v>
      </c>
      <c r="H11" s="177">
        <f t="shared" si="1"/>
        <v>-5.3042802086059352E-3</v>
      </c>
      <c r="I11" s="99" t="s">
        <v>251</v>
      </c>
    </row>
    <row r="12" spans="1:9" s="99" customFormat="1" ht="21" customHeight="1" thickBot="1">
      <c r="A12" s="100"/>
      <c r="B12" s="62" t="s">
        <v>269</v>
      </c>
      <c r="C12" s="59">
        <f>+VLOOKUP(B12,[3]Activo!$B$2:$E$28,2,0)</f>
        <v>8</v>
      </c>
      <c r="D12" s="160">
        <f>+VLOOKUP(B12,[3]Activo!$B$2:$E$28,3,0)</f>
        <v>10492977</v>
      </c>
      <c r="E12" s="160">
        <f>+VLOOKUP(B12,[3]Activo!$B$2:$E$28,4,0)</f>
        <v>13829428</v>
      </c>
      <c r="F12" s="130"/>
      <c r="G12" s="155">
        <f t="shared" si="0"/>
        <v>-3336451</v>
      </c>
      <c r="H12" s="177">
        <f t="shared" si="1"/>
        <v>-0.24125733905986568</v>
      </c>
    </row>
    <row r="13" spans="1:9" s="99" customFormat="1" ht="36" customHeight="1" thickBot="1">
      <c r="A13" s="100"/>
      <c r="B13" s="64" t="s">
        <v>36</v>
      </c>
      <c r="C13" s="65"/>
      <c r="D13" s="162">
        <f>SUM(D6:D12)</f>
        <v>270935934</v>
      </c>
      <c r="E13" s="163">
        <f>SUM(E6:E12)</f>
        <v>275000996</v>
      </c>
      <c r="F13" s="131"/>
      <c r="G13" s="178">
        <f>ROUND(+(D13-E13),0)</f>
        <v>-4065062</v>
      </c>
      <c r="H13" s="179">
        <f t="shared" si="1"/>
        <v>-1.4781990098683133E-2</v>
      </c>
    </row>
    <row r="14" spans="1:9" s="99" customFormat="1" ht="21" customHeight="1" thickBot="1">
      <c r="A14" s="100"/>
      <c r="B14" s="62" t="s">
        <v>270</v>
      </c>
      <c r="C14" s="59">
        <f>+VLOOKUP(B14,[3]Activo!$B$2:$E$28,2,0)</f>
        <v>9</v>
      </c>
      <c r="D14" s="160">
        <f>+VLOOKUP(B14,[3]Activo!$B$2:$E$28,3,0)</f>
        <v>0</v>
      </c>
      <c r="E14" s="160">
        <f>+VLOOKUP(B14,[3]Activo!$B$2:$E$28,4,0)</f>
        <v>3414</v>
      </c>
      <c r="F14" s="130"/>
      <c r="G14" s="155">
        <f t="shared" si="0"/>
        <v>-3414</v>
      </c>
      <c r="H14" s="177">
        <f t="shared" si="1"/>
        <v>-1</v>
      </c>
    </row>
    <row r="15" spans="1:9" s="99" customFormat="1" ht="21" customHeight="1" thickBot="1">
      <c r="A15" s="100"/>
      <c r="B15" s="66" t="s">
        <v>37</v>
      </c>
      <c r="C15" s="65"/>
      <c r="D15" s="164">
        <f>+D13+D14</f>
        <v>270935934</v>
      </c>
      <c r="E15" s="165">
        <f>+E13+E14</f>
        <v>275004410</v>
      </c>
      <c r="F15" s="133"/>
      <c r="G15" s="178">
        <f>ROUND(+(D15-E15),0)</f>
        <v>-4068476</v>
      </c>
      <c r="H15" s="179">
        <f t="shared" si="1"/>
        <v>-1.479422093631153E-2</v>
      </c>
    </row>
    <row r="16" spans="1:9" s="99" customFormat="1" ht="21" customHeight="1">
      <c r="A16" s="100"/>
      <c r="B16" s="58" t="s">
        <v>201</v>
      </c>
      <c r="C16" s="67"/>
      <c r="D16" s="166"/>
      <c r="E16" s="167"/>
      <c r="F16" s="131"/>
      <c r="G16" s="155"/>
      <c r="H16" s="177"/>
    </row>
    <row r="17" spans="1:8" s="99" customFormat="1" ht="21" customHeight="1">
      <c r="A17" s="100"/>
      <c r="B17" s="62" t="s">
        <v>280</v>
      </c>
      <c r="C17" s="59">
        <f>+VLOOKUP(B17,[3]Activo!$B$2:$E$28,2,0)</f>
        <v>10</v>
      </c>
      <c r="D17" s="160">
        <f>+VLOOKUP(B17,[3]Activo!$B$2:$E$28,3,0)</f>
        <v>7895863</v>
      </c>
      <c r="E17" s="160">
        <f>+VLOOKUP(B17,[3]Activo!$B$2:$E$28,4,0)</f>
        <v>7895863</v>
      </c>
      <c r="F17" s="130"/>
      <c r="G17" s="155">
        <f t="shared" ref="G17:G26" si="2">ROUND(+(D17-E17),0)</f>
        <v>0</v>
      </c>
      <c r="H17" s="177">
        <f t="shared" si="1"/>
        <v>0</v>
      </c>
    </row>
    <row r="18" spans="1:8" s="99" customFormat="1" ht="21" customHeight="1">
      <c r="A18" s="100"/>
      <c r="B18" s="62" t="s">
        <v>279</v>
      </c>
      <c r="C18" s="59" t="e">
        <f>+VLOOKUP(B18,[3]Activo!$B$2:$E$28,2,0)</f>
        <v>#REF!</v>
      </c>
      <c r="D18" s="160">
        <f>+VLOOKUP(B18,[3]Activo!$B$2:$E$28,3,0)</f>
        <v>1880605</v>
      </c>
      <c r="E18" s="160">
        <f>+VLOOKUP(B18,[3]Activo!$B$2:$E$28,4,0)</f>
        <v>1481897</v>
      </c>
      <c r="F18" s="130"/>
      <c r="G18" s="155">
        <f t="shared" si="2"/>
        <v>398708</v>
      </c>
      <c r="H18" s="177">
        <f t="shared" si="1"/>
        <v>0.26905243751758723</v>
      </c>
    </row>
    <row r="19" spans="1:8" s="99" customFormat="1" ht="21" customHeight="1">
      <c r="A19" s="100"/>
      <c r="B19" s="62" t="s">
        <v>167</v>
      </c>
      <c r="C19" s="59">
        <f>+VLOOKUP(B19,[3]Activo!$B$2:$E$28,2,0)</f>
        <v>5</v>
      </c>
      <c r="D19" s="160">
        <f>+VLOOKUP(B19,[3]Activo!$B$2:$E$28,3,0)</f>
        <v>3798350</v>
      </c>
      <c r="E19" s="160">
        <f>+VLOOKUP(B19,[3]Activo!$B$2:$E$28,4,0)</f>
        <v>3778724</v>
      </c>
      <c r="F19" s="130"/>
      <c r="G19" s="155">
        <f t="shared" si="2"/>
        <v>19626</v>
      </c>
      <c r="H19" s="177">
        <f t="shared" si="1"/>
        <v>5.1938167487225843E-3</v>
      </c>
    </row>
    <row r="20" spans="1:8" s="99" customFormat="1" ht="21" customHeight="1">
      <c r="A20" s="100"/>
      <c r="B20" s="62" t="s">
        <v>224</v>
      </c>
      <c r="C20" s="59" t="e">
        <f>+VLOOKUP(B20,[3]Activo!$B$2:$E$28,2,0)</f>
        <v>#REF!</v>
      </c>
      <c r="D20" s="160">
        <f>+VLOOKUP(B20,[3]Activo!$B$2:$E$28,3,0)</f>
        <v>0</v>
      </c>
      <c r="E20" s="160">
        <f>+VLOOKUP(B20,[3]Activo!$B$2:$E$28,4,0)</f>
        <v>0</v>
      </c>
      <c r="F20" s="130"/>
      <c r="G20" s="155"/>
      <c r="H20" s="177"/>
    </row>
    <row r="21" spans="1:8" s="99" customFormat="1" ht="21" customHeight="1">
      <c r="A21" s="100"/>
      <c r="B21" s="62" t="s">
        <v>38</v>
      </c>
      <c r="C21" s="59">
        <f>+VLOOKUP(B21,[3]Activo!$B$2:$E$28,2,0)</f>
        <v>11</v>
      </c>
      <c r="D21" s="160">
        <f>+VLOOKUP(B21,[3]Activo!$B$2:$E$28,3,0)</f>
        <v>231000327</v>
      </c>
      <c r="E21" s="160">
        <f>+VLOOKUP(B21,[3]Activo!$B$2:$E$28,4,0)</f>
        <v>231747713</v>
      </c>
      <c r="F21" s="130"/>
      <c r="G21" s="155">
        <f t="shared" si="2"/>
        <v>-747386</v>
      </c>
      <c r="H21" s="177">
        <f t="shared" si="1"/>
        <v>-3.2249983843422006E-3</v>
      </c>
    </row>
    <row r="22" spans="1:8" s="99" customFormat="1" ht="21" customHeight="1">
      <c r="A22" s="100"/>
      <c r="B22" s="62" t="s">
        <v>39</v>
      </c>
      <c r="C22" s="59">
        <f>+VLOOKUP(B22,[3]Activo!$B$2:$E$28,2,0)</f>
        <v>12</v>
      </c>
      <c r="D22" s="160">
        <f>+VLOOKUP(B22,[3]Activo!$B$2:$E$28,3,0)</f>
        <v>33823049</v>
      </c>
      <c r="E22" s="160">
        <f>+VLOOKUP(B22,[3]Activo!$B$2:$E$28,4,0)</f>
        <v>33823049</v>
      </c>
      <c r="F22" s="130"/>
      <c r="G22" s="155">
        <f t="shared" si="2"/>
        <v>0</v>
      </c>
      <c r="H22" s="177">
        <f t="shared" si="1"/>
        <v>0</v>
      </c>
    </row>
    <row r="23" spans="1:8" s="99" customFormat="1" ht="21" customHeight="1">
      <c r="A23" s="100"/>
      <c r="B23" s="62" t="s">
        <v>271</v>
      </c>
      <c r="C23" s="59">
        <f>+VLOOKUP(B23,[3]Activo!$B$2:$E$28,2,0)</f>
        <v>13</v>
      </c>
      <c r="D23" s="160">
        <f>+VLOOKUP(B23,[3]Activo!$B$2:$E$28,3,0)</f>
        <v>1813521728</v>
      </c>
      <c r="E23" s="160">
        <f>+VLOOKUP(B23,[3]Activo!$B$2:$E$28,4,0)</f>
        <v>1805370932</v>
      </c>
      <c r="F23" s="130"/>
      <c r="G23" s="155">
        <f t="shared" si="2"/>
        <v>8150796</v>
      </c>
      <c r="H23" s="177">
        <f t="shared" si="1"/>
        <v>4.5147486621879432E-3</v>
      </c>
    </row>
    <row r="24" spans="1:8" s="99" customFormat="1" ht="21" customHeight="1">
      <c r="A24" s="100"/>
      <c r="B24" s="62" t="s">
        <v>211</v>
      </c>
      <c r="C24" s="59">
        <f>+VLOOKUP(B24,[3]Activo!$B$2:$E$28,2,0)</f>
        <v>14</v>
      </c>
      <c r="D24" s="160">
        <f>+VLOOKUP(B24,[3]Activo!$B$2:$E$28,3,0)</f>
        <v>3800381</v>
      </c>
      <c r="E24" s="160">
        <f>+VLOOKUP(B24,[3]Activo!$B$2:$E$28,4,0)</f>
        <v>4307072</v>
      </c>
      <c r="F24" s="130"/>
      <c r="G24" s="155">
        <f t="shared" ref="G24" si="3">ROUND(+(D24-E24),0)</f>
        <v>-506691</v>
      </c>
      <c r="H24" s="177">
        <f t="shared" ref="H24" si="4">IFERROR(G24/E24,1)</f>
        <v>-0.11764163682427413</v>
      </c>
    </row>
    <row r="25" spans="1:8" s="99" customFormat="1" ht="21" customHeight="1" thickBot="1">
      <c r="A25" s="100"/>
      <c r="B25" s="62" t="s">
        <v>272</v>
      </c>
      <c r="C25" s="59">
        <f>+VLOOKUP(B25,[3]Activo!$B$2:$E$28,2,0)</f>
        <v>15</v>
      </c>
      <c r="D25" s="160">
        <f>+VLOOKUP(B25,[3]Activo!$B$2:$E$28,3,0)</f>
        <v>61058247</v>
      </c>
      <c r="E25" s="160">
        <f>+VLOOKUP(B25,[3]Activo!$B$2:$E$28,4,0)</f>
        <v>59938069</v>
      </c>
      <c r="F25" s="130"/>
      <c r="G25" s="155">
        <f t="shared" si="2"/>
        <v>1120178</v>
      </c>
      <c r="H25" s="177">
        <f t="shared" si="1"/>
        <v>1.8688923728924268E-2</v>
      </c>
    </row>
    <row r="26" spans="1:8" s="99" customFormat="1" ht="21" customHeight="1" thickBot="1">
      <c r="A26" s="100"/>
      <c r="B26" s="68" t="s">
        <v>40</v>
      </c>
      <c r="C26" s="65"/>
      <c r="D26" s="162">
        <f>SUM(D17:D25)</f>
        <v>2156778550</v>
      </c>
      <c r="E26" s="163">
        <f>SUM(E17:E25)</f>
        <v>2148343319</v>
      </c>
      <c r="F26" s="131"/>
      <c r="G26" s="178">
        <f t="shared" si="2"/>
        <v>8435231</v>
      </c>
      <c r="H26" s="179">
        <f t="shared" si="1"/>
        <v>3.926388731911987E-3</v>
      </c>
    </row>
    <row r="27" spans="1:8" s="100" customFormat="1" ht="11.25" customHeight="1" thickBot="1">
      <c r="A27" s="132"/>
      <c r="B27" s="62"/>
      <c r="C27" s="63"/>
      <c r="D27" s="160"/>
      <c r="E27" s="161"/>
      <c r="F27" s="130"/>
      <c r="G27" s="155"/>
      <c r="H27" s="177"/>
    </row>
    <row r="28" spans="1:8" s="99" customFormat="1" ht="21" customHeight="1" thickBot="1">
      <c r="B28" s="69" t="s">
        <v>168</v>
      </c>
      <c r="C28" s="70"/>
      <c r="D28" s="168">
        <f>+D15+D26</f>
        <v>2427714484</v>
      </c>
      <c r="E28" s="169">
        <f>+E15+E26</f>
        <v>2423347729</v>
      </c>
      <c r="F28" s="131"/>
      <c r="G28" s="178">
        <f>ROUND(+(D28-E28),0)</f>
        <v>4366755</v>
      </c>
      <c r="H28" s="179">
        <f t="shared" si="1"/>
        <v>1.8019514689301115E-3</v>
      </c>
    </row>
    <row r="29" spans="1:8">
      <c r="B29" s="134"/>
      <c r="C29" s="135"/>
      <c r="D29" s="136"/>
      <c r="E29" s="136"/>
      <c r="F29" s="136"/>
      <c r="G29" s="157"/>
      <c r="H29" s="177"/>
    </row>
    <row r="30" spans="1:8" ht="13.5" thickBot="1">
      <c r="B30" s="134"/>
      <c r="C30" s="135"/>
      <c r="D30" s="136"/>
      <c r="E30" s="136"/>
      <c r="F30" s="136"/>
      <c r="G30" s="157"/>
      <c r="H30" s="177"/>
    </row>
    <row r="31" spans="1:8" s="99" customFormat="1" ht="20.25" customHeight="1">
      <c r="A31" s="125"/>
      <c r="B31" s="318" t="s">
        <v>41</v>
      </c>
      <c r="C31" s="320" t="s">
        <v>29</v>
      </c>
      <c r="D31" s="54">
        <f>+D3</f>
        <v>45291</v>
      </c>
      <c r="E31" s="55">
        <f>+E3</f>
        <v>44926</v>
      </c>
      <c r="G31" s="155"/>
      <c r="H31" s="177"/>
    </row>
    <row r="32" spans="1:8" s="99" customFormat="1" ht="18" customHeight="1">
      <c r="A32" s="100"/>
      <c r="B32" s="319"/>
      <c r="C32" s="321"/>
      <c r="D32" s="56" t="s">
        <v>5</v>
      </c>
      <c r="E32" s="57" t="s">
        <v>5</v>
      </c>
      <c r="G32" s="155"/>
      <c r="H32" s="177"/>
    </row>
    <row r="33" spans="1:9" s="99" customFormat="1" ht="18" customHeight="1">
      <c r="A33" s="100"/>
      <c r="B33" s="58" t="s">
        <v>42</v>
      </c>
      <c r="C33" s="71"/>
      <c r="D33" s="60"/>
      <c r="E33" s="61"/>
      <c r="G33" s="155"/>
      <c r="H33" s="177"/>
    </row>
    <row r="34" spans="1:9" s="100" customFormat="1" ht="18" customHeight="1">
      <c r="B34" s="62" t="s">
        <v>283</v>
      </c>
      <c r="C34" s="59">
        <f>+VLOOKUP(B34,[3]Pasivo!$B$2:$E$38,2,0)</f>
        <v>16</v>
      </c>
      <c r="D34" s="160">
        <f>+VLOOKUP(B34,[3]Pasivo!$B$2:$E$38,3,0)</f>
        <v>156721040</v>
      </c>
      <c r="E34" s="160">
        <f>+VLOOKUP(B34,[3]Pasivo!$B$2:$E$38,4,0)</f>
        <v>155416801</v>
      </c>
      <c r="F34" s="99"/>
      <c r="G34" s="155">
        <f t="shared" ref="G34:G42" si="5">ROUND(+(D34-E34),0)</f>
        <v>1304239</v>
      </c>
      <c r="H34" s="177">
        <f t="shared" si="1"/>
        <v>8.3918790736144423E-3</v>
      </c>
      <c r="I34" s="100" t="s">
        <v>252</v>
      </c>
    </row>
    <row r="35" spans="1:9" s="100" customFormat="1" ht="18" customHeight="1">
      <c r="B35" s="62" t="s">
        <v>212</v>
      </c>
      <c r="C35" s="59">
        <f>+VLOOKUP(B35,[3]Pasivo!$B$2:$E$38,2,0)</f>
        <v>14</v>
      </c>
      <c r="D35" s="160">
        <f>+VLOOKUP(B35,[3]Pasivo!$B$2:$E$38,3,0)</f>
        <v>1674228</v>
      </c>
      <c r="E35" s="160">
        <f>+VLOOKUP(B35,[3]Pasivo!$B$2:$E$38,4,0)</f>
        <v>1752912</v>
      </c>
      <c r="F35" s="99"/>
      <c r="G35" s="155">
        <f t="shared" ref="G35" si="6">ROUND(+(D35-E35),0)</f>
        <v>-78684</v>
      </c>
      <c r="H35" s="177">
        <f t="shared" ref="H35" si="7">IFERROR(G35/E35,1)</f>
        <v>-4.4887592759933183E-2</v>
      </c>
    </row>
    <row r="36" spans="1:9" s="100" customFormat="1" ht="18" customHeight="1">
      <c r="B36" s="62" t="s">
        <v>273</v>
      </c>
      <c r="C36" s="59">
        <f>+VLOOKUP(B36,[3]Pasivo!$B$2:$E$38,2,0)</f>
        <v>17</v>
      </c>
      <c r="D36" s="269">
        <f>+VLOOKUP(B36,[3]Pasivo!$B$2:$E$38,3,0)</f>
        <v>129703474</v>
      </c>
      <c r="E36" s="160">
        <f>+VLOOKUP(B36,[3]Pasivo!$B$2:$E$38,4,0)</f>
        <v>177288051</v>
      </c>
      <c r="F36" s="99"/>
      <c r="G36" s="155">
        <f t="shared" si="5"/>
        <v>-47584577</v>
      </c>
      <c r="H36" s="177">
        <f t="shared" si="1"/>
        <v>-0.26840261783914587</v>
      </c>
      <c r="I36" s="99" t="s">
        <v>253</v>
      </c>
    </row>
    <row r="37" spans="1:9" s="100" customFormat="1" ht="18" customHeight="1">
      <c r="B37" s="62" t="s">
        <v>43</v>
      </c>
      <c r="C37" s="59">
        <f>+VLOOKUP(B37,[3]Pasivo!$B$2:$E$38,2,0)</f>
        <v>6</v>
      </c>
      <c r="D37" s="269">
        <f>+VLOOKUP(B37,[3]Pasivo!$B$2:$E$38,3,0)</f>
        <v>1088691</v>
      </c>
      <c r="E37" s="160">
        <f>+VLOOKUP(B37,[3]Pasivo!$B$2:$E$38,4,0)</f>
        <v>1578553</v>
      </c>
      <c r="F37" s="99"/>
      <c r="G37" s="155">
        <f t="shared" si="5"/>
        <v>-489862</v>
      </c>
      <c r="H37" s="177">
        <f t="shared" si="1"/>
        <v>-0.31032344178497651</v>
      </c>
    </row>
    <row r="38" spans="1:9" s="100" customFormat="1" ht="18" customHeight="1">
      <c r="B38" s="62" t="s">
        <v>47</v>
      </c>
      <c r="C38" s="59">
        <f>+VLOOKUP(B38,[3]Pasivo!$B$2:$E$38,2,0)</f>
        <v>18</v>
      </c>
      <c r="D38" s="160">
        <f>+VLOOKUP(B38,[3]Pasivo!$B$2:$E$38,3,0)</f>
        <v>735780</v>
      </c>
      <c r="E38" s="160">
        <f>+VLOOKUP(B38,[3]Pasivo!$B$2:$E$38,4,0)</f>
        <v>735780</v>
      </c>
      <c r="F38" s="99"/>
      <c r="G38" s="155">
        <f t="shared" si="5"/>
        <v>0</v>
      </c>
      <c r="H38" s="177">
        <f t="shared" si="1"/>
        <v>0</v>
      </c>
    </row>
    <row r="39" spans="1:9" s="100" customFormat="1" ht="18" customHeight="1">
      <c r="B39" s="62" t="s">
        <v>44</v>
      </c>
      <c r="C39" s="59">
        <f>+VLOOKUP(B39,[3]Pasivo!$B$2:$E$38,2,0)</f>
        <v>8</v>
      </c>
      <c r="D39" s="160">
        <f>+VLOOKUP(B39,[3]Pasivo!$B$2:$E$38,3,0)</f>
        <v>90370</v>
      </c>
      <c r="E39" s="160">
        <f>+VLOOKUP(B39,[3]Pasivo!$B$2:$E$38,4,0)</f>
        <v>240748</v>
      </c>
      <c r="F39" s="99"/>
      <c r="G39" s="155">
        <f t="shared" si="5"/>
        <v>-150378</v>
      </c>
      <c r="H39" s="177">
        <f t="shared" si="1"/>
        <v>-0.62462824197916489</v>
      </c>
    </row>
    <row r="40" spans="1:9" s="100" customFormat="1" ht="18" customHeight="1">
      <c r="B40" s="62" t="s">
        <v>274</v>
      </c>
      <c r="C40" s="59">
        <f>+VLOOKUP(B40,[3]Pasivo!$B$2:$E$38,2,0)</f>
        <v>19</v>
      </c>
      <c r="D40" s="160">
        <f>+VLOOKUP(B40,[3]Pasivo!$B$2:$E$38,3,0)</f>
        <v>2769307</v>
      </c>
      <c r="E40" s="160">
        <f>+VLOOKUP(B40,[3]Pasivo!$B$2:$E$38,4,0)</f>
        <v>5955720</v>
      </c>
      <c r="F40" s="99"/>
      <c r="G40" s="155">
        <f t="shared" si="5"/>
        <v>-3186413</v>
      </c>
      <c r="H40" s="177">
        <f t="shared" si="1"/>
        <v>-0.53501726071742794</v>
      </c>
    </row>
    <row r="41" spans="1:9" s="100" customFormat="1" ht="18" customHeight="1" thickBot="1">
      <c r="B41" s="62" t="s">
        <v>157</v>
      </c>
      <c r="C41" s="59">
        <f>+VLOOKUP(B41,[3]Pasivo!$B$2:$E$38,2,0)</f>
        <v>20</v>
      </c>
      <c r="D41" s="160">
        <f>+VLOOKUP(B41,[3]Pasivo!$B$2:$E$38,3,0)</f>
        <v>20562473</v>
      </c>
      <c r="E41" s="160">
        <f>+VLOOKUP(B41,[3]Pasivo!$B$2:$E$38,4,0)</f>
        <v>18699561</v>
      </c>
      <c r="F41" s="99"/>
      <c r="G41" s="155">
        <f t="shared" si="5"/>
        <v>1862912</v>
      </c>
      <c r="H41" s="177">
        <f t="shared" si="1"/>
        <v>9.9623301317073698E-2</v>
      </c>
    </row>
    <row r="42" spans="1:9" s="99" customFormat="1" ht="39.5" thickBot="1">
      <c r="A42" s="100"/>
      <c r="B42" s="72" t="s">
        <v>202</v>
      </c>
      <c r="C42" s="65"/>
      <c r="D42" s="162">
        <f>SUM(D34:D41)</f>
        <v>313345363</v>
      </c>
      <c r="E42" s="163">
        <f>SUM(E34:E41)</f>
        <v>361668126</v>
      </c>
      <c r="G42" s="178">
        <f t="shared" si="5"/>
        <v>-48322763</v>
      </c>
      <c r="H42" s="179">
        <f t="shared" si="1"/>
        <v>-0.13361078714467639</v>
      </c>
    </row>
    <row r="43" spans="1:9" s="100" customFormat="1" ht="21.75" customHeight="1" thickBot="1">
      <c r="B43" s="62" t="s">
        <v>275</v>
      </c>
      <c r="C43" s="63"/>
      <c r="D43" s="160">
        <f>+VLOOKUP(B43,[3]Pasivo!$B$2:$E$38,3,0)</f>
        <v>0</v>
      </c>
      <c r="E43" s="160">
        <f>+VLOOKUP(B43,[3]Pasivo!$B$2:$E$38,4,0)</f>
        <v>0</v>
      </c>
      <c r="F43" s="99"/>
      <c r="G43" s="155">
        <f t="shared" ref="G43" si="8">ROUND(+(D43-E43),0)</f>
        <v>0</v>
      </c>
      <c r="H43" s="177">
        <f t="shared" ref="H43" si="9">IFERROR(G43/E43,1)</f>
        <v>1</v>
      </c>
    </row>
    <row r="44" spans="1:9" s="99" customFormat="1" ht="21" customHeight="1" thickBot="1">
      <c r="A44" s="100"/>
      <c r="B44" s="68" t="s">
        <v>45</v>
      </c>
      <c r="C44" s="73"/>
      <c r="D44" s="162">
        <f>+D42+D43</f>
        <v>313345363</v>
      </c>
      <c r="E44" s="163">
        <f>+E42+E43</f>
        <v>361668126</v>
      </c>
      <c r="G44" s="178">
        <f>ROUND(+(D44-E44),0)</f>
        <v>-48322763</v>
      </c>
      <c r="H44" s="179">
        <f t="shared" si="1"/>
        <v>-0.13361078714467639</v>
      </c>
    </row>
    <row r="45" spans="1:9" s="100" customFormat="1" ht="21" customHeight="1">
      <c r="B45" s="58" t="s">
        <v>46</v>
      </c>
      <c r="C45" s="71"/>
      <c r="D45" s="160"/>
      <c r="E45" s="161"/>
      <c r="F45" s="99"/>
      <c r="G45" s="155"/>
      <c r="H45" s="177"/>
    </row>
    <row r="46" spans="1:9" s="100" customFormat="1" ht="18" customHeight="1">
      <c r="B46" s="62" t="s">
        <v>282</v>
      </c>
      <c r="C46" s="59">
        <f>+VLOOKUP(B46,[3]Pasivo!$B$2:$E$38,2,0)</f>
        <v>16</v>
      </c>
      <c r="D46" s="160">
        <f>+VLOOKUP(B46,[3]Pasivo!$B$2:$E$38,3,0)</f>
        <v>1121628277</v>
      </c>
      <c r="E46" s="160">
        <f>+VLOOKUP(B46,[3]Pasivo!$B$2:$E$38,4,0)</f>
        <v>1125060897</v>
      </c>
      <c r="F46" s="99"/>
      <c r="G46" s="155">
        <f t="shared" ref="G46:G54" si="10">ROUND(+(D46-E46),0)</f>
        <v>-3432620</v>
      </c>
      <c r="H46" s="177">
        <f t="shared" si="1"/>
        <v>-3.0510526222652995E-3</v>
      </c>
    </row>
    <row r="47" spans="1:9" s="100" customFormat="1" ht="18" customHeight="1">
      <c r="B47" s="62" t="s">
        <v>284</v>
      </c>
      <c r="C47" s="59">
        <f>+VLOOKUP(B47,[3]Pasivo!$B$2:$E$38,2,0)</f>
        <v>14</v>
      </c>
      <c r="D47" s="160">
        <f>+VLOOKUP(B47,[3]Pasivo!$B$2:$E$38,3,0)</f>
        <v>2344249</v>
      </c>
      <c r="E47" s="160">
        <f>+VLOOKUP(B47,[3]Pasivo!$B$2:$E$38,4,0)</f>
        <v>2762179</v>
      </c>
      <c r="F47" s="99"/>
      <c r="G47" s="155">
        <f t="shared" ref="G47" si="11">ROUND(+(D47-E47),0)</f>
        <v>-417930</v>
      </c>
      <c r="H47" s="177">
        <f t="shared" ref="H47" si="12">IFERROR(G47/E47,1)</f>
        <v>-0.15130445926929428</v>
      </c>
    </row>
    <row r="48" spans="1:9" s="100" customFormat="1" ht="18" customHeight="1">
      <c r="B48" s="62" t="s">
        <v>49</v>
      </c>
      <c r="C48" s="59">
        <f>+VLOOKUP(B48,[3]Pasivo!$B$2:$E$38,2,0)</f>
        <v>17</v>
      </c>
      <c r="D48" s="160">
        <f>+VLOOKUP(B48,[3]Pasivo!$B$2:$E$38,3,0)</f>
        <v>1176496</v>
      </c>
      <c r="E48" s="160">
        <f>+VLOOKUP(B48,[3]Pasivo!$B$2:$E$38,4,0)</f>
        <v>1181870</v>
      </c>
      <c r="F48" s="99"/>
      <c r="G48" s="155">
        <f t="shared" si="10"/>
        <v>-5374</v>
      </c>
      <c r="H48" s="177">
        <f t="shared" si="1"/>
        <v>-4.5470313993924878E-3</v>
      </c>
    </row>
    <row r="49" spans="1:8" s="100" customFormat="1" ht="18" customHeight="1">
      <c r="B49" s="62" t="s">
        <v>281</v>
      </c>
      <c r="C49" s="59" t="e">
        <f>+VLOOKUP(B49,[3]Pasivo!$B$2:$E$38,2,0)</f>
        <v>#REF!</v>
      </c>
      <c r="D49" s="160">
        <f>+VLOOKUP(B49,[3]Pasivo!$B$2:$E$38,3,0)</f>
        <v>0</v>
      </c>
      <c r="E49" s="160">
        <f>+VLOOKUP(B49,[3]Pasivo!$B$2:$E$38,4,0)</f>
        <v>0</v>
      </c>
      <c r="F49" s="99"/>
      <c r="G49" s="155">
        <f t="shared" ref="G49" si="13">ROUND(+(D49-E49),0)</f>
        <v>0</v>
      </c>
      <c r="H49" s="177">
        <f t="shared" ref="H49" si="14">IFERROR(G49/E49,1)</f>
        <v>1</v>
      </c>
    </row>
    <row r="50" spans="1:8" s="100" customFormat="1" ht="18" customHeight="1">
      <c r="B50" s="62" t="s">
        <v>286</v>
      </c>
      <c r="C50" s="59">
        <f>+VLOOKUP(B50,[3]Pasivo!$B$2:$E$38,2,0)</f>
        <v>18</v>
      </c>
      <c r="D50" s="160">
        <f>+VLOOKUP(B50,[3]Pasivo!$B$2:$E$38,3,0)</f>
        <v>1839279</v>
      </c>
      <c r="E50" s="160">
        <f>+VLOOKUP(B50,[3]Pasivo!$B$2:$E$38,4,0)</f>
        <v>1823379</v>
      </c>
      <c r="F50" s="99"/>
      <c r="G50" s="155">
        <f t="shared" si="10"/>
        <v>15900</v>
      </c>
      <c r="H50" s="177">
        <f t="shared" si="1"/>
        <v>8.7200741041769149E-3</v>
      </c>
    </row>
    <row r="51" spans="1:8" s="100" customFormat="1" ht="18" customHeight="1">
      <c r="B51" s="62" t="s">
        <v>48</v>
      </c>
      <c r="C51" s="59">
        <f>+VLOOKUP(B51,[3]Pasivo!$B$2:$E$38,2,0)</f>
        <v>15</v>
      </c>
      <c r="D51" s="160">
        <f>+VLOOKUP(B51,[3]Pasivo!$B$2:$E$38,3,0)</f>
        <v>15129910</v>
      </c>
      <c r="E51" s="160">
        <f>+VLOOKUP(B51,[3]Pasivo!$B$2:$E$38,4,0)</f>
        <v>14934780</v>
      </c>
      <c r="F51" s="99"/>
      <c r="G51" s="155">
        <f t="shared" si="10"/>
        <v>195130</v>
      </c>
      <c r="H51" s="177">
        <f t="shared" si="1"/>
        <v>1.30654753535037E-2</v>
      </c>
    </row>
    <row r="52" spans="1:8" s="100" customFormat="1" ht="18" customHeight="1">
      <c r="B52" s="62" t="s">
        <v>276</v>
      </c>
      <c r="C52" s="59">
        <f>+VLOOKUP(B52,[3]Pasivo!$B$2:$E$38,2,0)</f>
        <v>19</v>
      </c>
      <c r="D52" s="160">
        <f>+VLOOKUP(B52,[3]Pasivo!$B$2:$E$38,3,0)</f>
        <v>22264742</v>
      </c>
      <c r="E52" s="160">
        <f>+VLOOKUP(B52,[3]Pasivo!$B$2:$E$38,4,0)</f>
        <v>22322555</v>
      </c>
      <c r="F52" s="99"/>
      <c r="G52" s="155">
        <f t="shared" si="10"/>
        <v>-57813</v>
      </c>
      <c r="H52" s="177">
        <f t="shared" si="1"/>
        <v>-2.5898917037050643E-3</v>
      </c>
    </row>
    <row r="53" spans="1:8" s="100" customFormat="1" ht="18" customHeight="1" thickBot="1">
      <c r="B53" s="62" t="s">
        <v>285</v>
      </c>
      <c r="C53" s="59">
        <f>+VLOOKUP(B53,[3]Pasivo!$B$2:$E$38,2,0)</f>
        <v>20</v>
      </c>
      <c r="D53" s="160">
        <f>+VLOOKUP(B53,[3]Pasivo!$B$2:$E$38,3,0)+1</f>
        <v>7721253</v>
      </c>
      <c r="E53" s="160">
        <f>+VLOOKUP(B53,[3]Pasivo!$B$2:$E$38,4,0)</f>
        <v>7454645</v>
      </c>
      <c r="F53" s="99"/>
      <c r="G53" s="155">
        <f t="shared" si="10"/>
        <v>266608</v>
      </c>
      <c r="H53" s="177">
        <f t="shared" si="1"/>
        <v>3.5764010224497614E-2</v>
      </c>
    </row>
    <row r="54" spans="1:8" s="100" customFormat="1" ht="21" customHeight="1" thickBot="1">
      <c r="B54" s="68" t="s">
        <v>169</v>
      </c>
      <c r="C54" s="73"/>
      <c r="D54" s="162">
        <f>SUM(D46:D53)</f>
        <v>1172104206</v>
      </c>
      <c r="E54" s="163">
        <f>SUM(E46:E53)</f>
        <v>1175540305</v>
      </c>
      <c r="F54" s="99"/>
      <c r="G54" s="178">
        <f t="shared" si="10"/>
        <v>-3436099</v>
      </c>
      <c r="H54" s="179">
        <f t="shared" si="1"/>
        <v>-2.9229954816393983E-3</v>
      </c>
    </row>
    <row r="55" spans="1:8" s="100" customFormat="1" ht="4.5" customHeight="1" thickBot="1">
      <c r="B55" s="62"/>
      <c r="C55" s="63"/>
      <c r="D55" s="160"/>
      <c r="E55" s="161"/>
      <c r="F55" s="99"/>
      <c r="G55" s="155"/>
      <c r="H55" s="177"/>
    </row>
    <row r="56" spans="1:8" s="100" customFormat="1" ht="21" customHeight="1" thickBot="1">
      <c r="B56" s="74" t="s">
        <v>50</v>
      </c>
      <c r="C56" s="73"/>
      <c r="D56" s="162">
        <f>+D54+D44</f>
        <v>1485449569</v>
      </c>
      <c r="E56" s="163">
        <f>+E54+E44</f>
        <v>1537208431</v>
      </c>
      <c r="F56" s="99"/>
      <c r="G56" s="178">
        <f>ROUND(+(D56-E56),0)</f>
        <v>-51758862</v>
      </c>
      <c r="H56" s="179">
        <f t="shared" ref="H56:H67" si="15">IFERROR(G56/E56,100)</f>
        <v>-3.3670685741899888E-2</v>
      </c>
    </row>
    <row r="57" spans="1:8" s="100" customFormat="1" ht="21" customHeight="1">
      <c r="B57" s="58" t="s">
        <v>170</v>
      </c>
      <c r="C57" s="75"/>
      <c r="D57" s="170"/>
      <c r="E57" s="171"/>
      <c r="F57" s="99"/>
      <c r="G57" s="155"/>
      <c r="H57" s="177"/>
    </row>
    <row r="58" spans="1:8" s="100" customFormat="1" ht="18" customHeight="1">
      <c r="B58" s="62" t="s">
        <v>51</v>
      </c>
      <c r="C58" s="59">
        <f>+VLOOKUP(B58,[3]Pasivo!$B$2:$E$38,2,0)</f>
        <v>21</v>
      </c>
      <c r="D58" s="160">
        <f>+VLOOKUP(B58,[3]Pasivo!$B$2:$E$38,3,0)</f>
        <v>155567354</v>
      </c>
      <c r="E58" s="61">
        <f>+VLOOKUP(B58,[3]Pasivo!$B$2:$E$38,4,0)</f>
        <v>155567354</v>
      </c>
      <c r="F58" s="99"/>
      <c r="G58" s="155">
        <f t="shared" ref="G58:G65" si="16">ROUND(+(D58-E58),0)</f>
        <v>0</v>
      </c>
      <c r="H58" s="177">
        <f t="shared" si="15"/>
        <v>0</v>
      </c>
    </row>
    <row r="59" spans="1:8" s="100" customFormat="1" ht="18" customHeight="1">
      <c r="B59" s="62" t="s">
        <v>277</v>
      </c>
      <c r="C59" s="59">
        <f>+VLOOKUP(B59,[3]Pasivo!$B$2:$E$38,2,0)</f>
        <v>21</v>
      </c>
      <c r="D59" s="160">
        <f>+VLOOKUP(B59,[3]Pasivo!$B$2:$E$38,3,0)-1</f>
        <v>465953227</v>
      </c>
      <c r="E59" s="61">
        <f>+VLOOKUP(B59,[3]Pasivo!$B$2:$E$38,4,0)</f>
        <v>411044222</v>
      </c>
      <c r="F59" s="99"/>
      <c r="G59" s="155">
        <f t="shared" si="16"/>
        <v>54909005</v>
      </c>
      <c r="H59" s="177">
        <f t="shared" si="15"/>
        <v>0.13358417917379214</v>
      </c>
    </row>
    <row r="60" spans="1:8" s="100" customFormat="1" ht="18" customHeight="1">
      <c r="B60" s="76" t="s">
        <v>278</v>
      </c>
      <c r="C60" s="59">
        <f>+VLOOKUP(B60,[3]Pasivo!$B$2:$E$38,2,0)</f>
        <v>21</v>
      </c>
      <c r="D60" s="160">
        <f>+VLOOKUP(B60,[3]Pasivo!$B$2:$E$38,3,0)</f>
        <v>164064038</v>
      </c>
      <c r="E60" s="61">
        <f>+VLOOKUP(B60,[3]Pasivo!$B$2:$E$38,4,0)</f>
        <v>164064038</v>
      </c>
      <c r="F60" s="99"/>
      <c r="G60" s="155">
        <f t="shared" si="16"/>
        <v>0</v>
      </c>
      <c r="H60" s="177">
        <f t="shared" si="15"/>
        <v>0</v>
      </c>
    </row>
    <row r="61" spans="1:8" s="99" customFormat="1" ht="18" customHeight="1">
      <c r="A61" s="100"/>
      <c r="B61" s="62" t="s">
        <v>52</v>
      </c>
      <c r="C61" s="59">
        <f>+VLOOKUP(B61,[3]Pasivo!$B$2:$E$38,2,0)</f>
        <v>21</v>
      </c>
      <c r="D61" s="160">
        <f>+VLOOKUP(B61,[3]Pasivo!$B$2:$E$38,3,0)</f>
        <v>-5965550</v>
      </c>
      <c r="E61" s="61">
        <f>+VLOOKUP(B61,[3]Pasivo!$B$2:$E$38,4,0)</f>
        <v>-5965550</v>
      </c>
      <c r="G61" s="155">
        <f t="shared" si="16"/>
        <v>0</v>
      </c>
      <c r="H61" s="177">
        <f t="shared" si="15"/>
        <v>0</v>
      </c>
    </row>
    <row r="62" spans="1:8" s="99" customFormat="1" ht="18" customHeight="1" thickBot="1">
      <c r="A62" s="100"/>
      <c r="B62" s="62" t="s">
        <v>237</v>
      </c>
      <c r="C62" s="59">
        <f>+VLOOKUP(B62,[3]Pasivo!$B$2:$E$38,2,0)</f>
        <v>21</v>
      </c>
      <c r="D62" s="160">
        <f>+VLOOKUP(B62,[3]Pasivo!$B$2:$E$38,3,0)</f>
        <v>162613388</v>
      </c>
      <c r="E62" s="61">
        <f>+VLOOKUP(B62,[3]Pasivo!$B$2:$E$38,4,0)</f>
        <v>161397766</v>
      </c>
      <c r="G62" s="155"/>
      <c r="H62" s="177"/>
    </row>
    <row r="63" spans="1:8" s="99" customFormat="1" ht="21.75" customHeight="1" thickBot="1">
      <c r="A63" s="100"/>
      <c r="B63" s="77" t="s">
        <v>22</v>
      </c>
      <c r="C63" s="59" t="e">
        <f>+VLOOKUP(B63,[3]Pasivo!$B$2:$E$38,2,0)</f>
        <v>#REF!</v>
      </c>
      <c r="D63" s="166">
        <f>SUM(D58:D62)</f>
        <v>942232457</v>
      </c>
      <c r="E63" s="167">
        <f>SUM(E58:E62)</f>
        <v>886107830</v>
      </c>
      <c r="G63" s="178">
        <f t="shared" si="16"/>
        <v>56124627</v>
      </c>
      <c r="H63" s="179">
        <f t="shared" si="15"/>
        <v>6.3338371583963993E-2</v>
      </c>
    </row>
    <row r="64" spans="1:8" s="99" customFormat="1" ht="21.75" customHeight="1" thickBot="1">
      <c r="A64" s="100"/>
      <c r="B64" s="78" t="s">
        <v>23</v>
      </c>
      <c r="C64" s="59">
        <f>+VLOOKUP(B64,[3]Pasivo!$B$2:$E$38,2,0)</f>
        <v>22</v>
      </c>
      <c r="D64" s="160">
        <f>+VLOOKUP(B64,[3]Pasivo!$B$2:$E$38,3,0)</f>
        <v>32458</v>
      </c>
      <c r="E64" s="61">
        <f>+VLOOKUP(B64,[3]Pasivo!$B$2:$E$38,4,0)</f>
        <v>31468</v>
      </c>
      <c r="G64" s="155">
        <f t="shared" si="16"/>
        <v>990</v>
      </c>
      <c r="H64" s="177">
        <f t="shared" si="15"/>
        <v>3.1460531333418078E-2</v>
      </c>
    </row>
    <row r="65" spans="1:8" s="99" customFormat="1" ht="18" customHeight="1" thickBot="1">
      <c r="A65" s="100"/>
      <c r="B65" s="68" t="s">
        <v>171</v>
      </c>
      <c r="C65" s="79"/>
      <c r="D65" s="162">
        <f>+D63+D64</f>
        <v>942264915</v>
      </c>
      <c r="E65" s="163">
        <f>+E63+E64</f>
        <v>886139298</v>
      </c>
      <c r="G65" s="178">
        <f t="shared" si="16"/>
        <v>56125617</v>
      </c>
      <c r="H65" s="179">
        <f t="shared" si="15"/>
        <v>6.3337239558920899E-2</v>
      </c>
    </row>
    <row r="66" spans="1:8" s="100" customFormat="1" ht="11.25" customHeight="1" thickBot="1">
      <c r="B66" s="62"/>
      <c r="C66" s="63"/>
      <c r="D66" s="160"/>
      <c r="E66" s="161"/>
      <c r="F66" s="99"/>
      <c r="G66" s="155"/>
      <c r="H66" s="177"/>
    </row>
    <row r="67" spans="1:8" s="99" customFormat="1" ht="20.25" customHeight="1" thickBot="1">
      <c r="A67" s="100"/>
      <c r="B67" s="80" t="s">
        <v>172</v>
      </c>
      <c r="C67" s="81"/>
      <c r="D67" s="168">
        <f>+D65+D56</f>
        <v>2427714484</v>
      </c>
      <c r="E67" s="169">
        <f>+E65+E56</f>
        <v>2423347729</v>
      </c>
      <c r="G67" s="178">
        <f>ROUND(+(D67-E67),0)</f>
        <v>4366755</v>
      </c>
      <c r="H67" s="179">
        <f t="shared" si="15"/>
        <v>1.8019514689301115E-3</v>
      </c>
    </row>
    <row r="69" spans="1:8" ht="15" customHeight="1">
      <c r="B69" s="228" t="s">
        <v>206</v>
      </c>
      <c r="C69" s="228"/>
      <c r="D69" s="229">
        <f>+D67-D28</f>
        <v>0</v>
      </c>
      <c r="E69" s="229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rgb="FF92D050"/>
    <pageSetUpPr fitToPage="1"/>
  </sheetPr>
  <dimension ref="A1:K31"/>
  <sheetViews>
    <sheetView showGridLines="0" zoomScale="90" zoomScaleNormal="90" workbookViewId="0">
      <selection activeCell="G65" sqref="G65"/>
    </sheetView>
  </sheetViews>
  <sheetFormatPr baseColWidth="10" defaultColWidth="11.453125" defaultRowHeight="13"/>
  <cols>
    <col min="1" max="1" width="7.54296875" style="108" customWidth="1"/>
    <col min="2" max="2" width="50.453125" style="108" customWidth="1"/>
    <col min="3" max="3" width="7.54296875" style="108" customWidth="1"/>
    <col min="4" max="4" width="12.453125" style="108" bestFit="1" customWidth="1"/>
    <col min="5" max="5" width="13.81640625" style="108" customWidth="1"/>
    <col min="6" max="6" width="5" style="108" customWidth="1"/>
    <col min="7" max="7" width="11.453125" style="172"/>
    <col min="8" max="9" width="12.54296875" style="173" customWidth="1"/>
    <col min="10" max="10" width="0" style="172" hidden="1" customWidth="1"/>
    <col min="11" max="11" width="12.54296875" style="173" hidden="1" customWidth="1"/>
    <col min="12" max="16384" width="11.453125" style="108"/>
  </cols>
  <sheetData>
    <row r="1" spans="1:11">
      <c r="C1" s="124"/>
    </row>
    <row r="2" spans="1:11" ht="13.5" thickBot="1">
      <c r="C2" s="124"/>
      <c r="G2" s="328" t="s">
        <v>159</v>
      </c>
      <c r="H2" s="328"/>
      <c r="I2" s="212"/>
      <c r="J2" s="328" t="s">
        <v>160</v>
      </c>
      <c r="K2" s="328"/>
    </row>
    <row r="3" spans="1:11" s="100" customFormat="1">
      <c r="A3" s="125"/>
      <c r="B3" s="324" t="s">
        <v>203</v>
      </c>
      <c r="C3" s="320" t="s">
        <v>29</v>
      </c>
      <c r="D3" s="254">
        <v>45382</v>
      </c>
      <c r="E3" s="254">
        <v>45016</v>
      </c>
      <c r="G3" s="326" t="s">
        <v>158</v>
      </c>
      <c r="H3" s="327"/>
      <c r="I3" s="213"/>
      <c r="J3" s="326" t="s">
        <v>158</v>
      </c>
      <c r="K3" s="327"/>
    </row>
    <row r="4" spans="1:11" s="100" customFormat="1" ht="16.5" customHeight="1">
      <c r="B4" s="325"/>
      <c r="C4" s="321"/>
      <c r="D4" s="56" t="s">
        <v>5</v>
      </c>
      <c r="E4" s="56" t="s">
        <v>5</v>
      </c>
      <c r="G4" s="175" t="s">
        <v>5</v>
      </c>
      <c r="H4" s="176" t="s">
        <v>15</v>
      </c>
      <c r="I4" s="214"/>
      <c r="J4" s="175" t="s">
        <v>5</v>
      </c>
      <c r="K4" s="176"/>
    </row>
    <row r="5" spans="1:11" s="100" customFormat="1" ht="21" customHeight="1">
      <c r="B5" s="82" t="s">
        <v>204</v>
      </c>
      <c r="C5" s="63">
        <f>+VLOOKUP(B5,[3]Resultado!$B$4:$E$29,2,0)</f>
        <v>25</v>
      </c>
      <c r="D5" s="60">
        <f>+VLOOKUP(B5,[3]Resultado!$B$4:$E$29,3,0)</f>
        <v>189140192</v>
      </c>
      <c r="E5" s="60">
        <f>+VLOOKUP(B5,[3]Resultado!$B$4:$E$29,4,0)</f>
        <v>181469344</v>
      </c>
      <c r="F5" s="99"/>
      <c r="G5" s="155">
        <f t="shared" ref="G5:G11" si="0">+ROUND((D5-E5),0)</f>
        <v>7670848</v>
      </c>
      <c r="H5" s="180">
        <f t="shared" ref="H5:H11" si="1">IFERROR(G5/E5,1)</f>
        <v>4.2270765027948742E-2</v>
      </c>
      <c r="I5" s="215"/>
      <c r="J5" s="155" t="e">
        <f>+ROUND((#REF!-#REF!),0)</f>
        <v>#REF!</v>
      </c>
      <c r="K5" s="180">
        <f>IFERROR(J5/#REF!,1)</f>
        <v>1</v>
      </c>
    </row>
    <row r="6" spans="1:11" s="100" customFormat="1" ht="21" customHeight="1">
      <c r="B6" s="82" t="s">
        <v>25</v>
      </c>
      <c r="C6" s="63"/>
      <c r="D6" s="60">
        <f>+VLOOKUP(B6,[3]Resultado!$B$4:$E$29,3,0)</f>
        <v>-21680487</v>
      </c>
      <c r="E6" s="60">
        <f>+VLOOKUP(B6,[3]Resultado!$B$4:$E$29,4,0)</f>
        <v>-25307191</v>
      </c>
      <c r="F6" s="99"/>
      <c r="G6" s="155">
        <f t="shared" si="0"/>
        <v>3626704</v>
      </c>
      <c r="H6" s="180">
        <f t="shared" si="1"/>
        <v>-0.1433072520770875</v>
      </c>
      <c r="I6" s="215"/>
      <c r="J6" s="155" t="e">
        <f>+ROUND((#REF!-#REF!),0)</f>
        <v>#REF!</v>
      </c>
      <c r="K6" s="180">
        <f>IFERROR(J6/#REF!,1)</f>
        <v>1</v>
      </c>
    </row>
    <row r="7" spans="1:11" s="100" customFormat="1" ht="21" customHeight="1">
      <c r="B7" s="82" t="s">
        <v>20</v>
      </c>
      <c r="C7" s="63">
        <f>+VLOOKUP(B7,[3]Resultado!$B$4:$E$29,2,0)</f>
        <v>19</v>
      </c>
      <c r="D7" s="60">
        <f>+VLOOKUP(B7,[3]Resultado!$B$4:$E$29,3,0)</f>
        <v>-18746545</v>
      </c>
      <c r="E7" s="60">
        <f>+VLOOKUP(B7,[3]Resultado!$B$4:$E$29,4,0)</f>
        <v>-16659811</v>
      </c>
      <c r="F7" s="99"/>
      <c r="G7" s="155">
        <f t="shared" si="0"/>
        <v>-2086734</v>
      </c>
      <c r="H7" s="180">
        <f t="shared" si="1"/>
        <v>0.1252555626231294</v>
      </c>
      <c r="I7" s="215"/>
      <c r="J7" s="155" t="e">
        <f>+ROUND((#REF!-#REF!),0)</f>
        <v>#REF!</v>
      </c>
      <c r="K7" s="180">
        <f>IFERROR(J7/#REF!,1)</f>
        <v>1</v>
      </c>
    </row>
    <row r="8" spans="1:11" s="100" customFormat="1" ht="21" customHeight="1">
      <c r="B8" s="82" t="s">
        <v>263</v>
      </c>
      <c r="C8" s="63" t="str">
        <f>+VLOOKUP(B8,[3]Resultado!$B$4:$E$29,2,0)</f>
        <v>11-13-14</v>
      </c>
      <c r="D8" s="60">
        <f>+VLOOKUP(B8,[3]Resultado!$B$4:$E$29,3,0)</f>
        <v>-19972547</v>
      </c>
      <c r="E8" s="60">
        <f>+VLOOKUP(B8,[3]Resultado!$B$4:$E$29,4,0)</f>
        <v>-18825052</v>
      </c>
      <c r="F8" s="99"/>
      <c r="G8" s="155">
        <f t="shared" si="0"/>
        <v>-1147495</v>
      </c>
      <c r="H8" s="180">
        <f t="shared" si="1"/>
        <v>6.095574131747418E-2</v>
      </c>
      <c r="I8" s="215"/>
      <c r="J8" s="155" t="e">
        <f>+ROUND((#REF!-#REF!),0)</f>
        <v>#REF!</v>
      </c>
      <c r="K8" s="180">
        <f>IFERROR(J8/#REF!,1)</f>
        <v>1</v>
      </c>
    </row>
    <row r="9" spans="1:11" s="100" customFormat="1" ht="21" customHeight="1">
      <c r="B9" s="84" t="s">
        <v>264</v>
      </c>
      <c r="C9" s="83"/>
      <c r="D9" s="60">
        <f>+VLOOKUP(B9,[3]Resultado!$B$4:$E$29,3,0)</f>
        <v>-4025436</v>
      </c>
      <c r="E9" s="60">
        <f>+VLOOKUP(B9,[3]Resultado!$B$4:$E$29,4,0)</f>
        <v>-3119261</v>
      </c>
      <c r="F9" s="99"/>
      <c r="G9" s="155">
        <f t="shared" si="0"/>
        <v>-906175</v>
      </c>
      <c r="H9" s="180">
        <f t="shared" si="1"/>
        <v>0.29050951491394916</v>
      </c>
      <c r="I9" s="215"/>
      <c r="J9" s="155" t="e">
        <f>+ROUND((#REF!-#REF!),0)</f>
        <v>#REF!</v>
      </c>
      <c r="K9" s="180">
        <f>IFERROR(J9/#REF!,1)</f>
        <v>1</v>
      </c>
    </row>
    <row r="10" spans="1:11" s="100" customFormat="1" ht="21" customHeight="1">
      <c r="B10" s="82" t="s">
        <v>21</v>
      </c>
      <c r="C10" s="63">
        <f>+VLOOKUP(B10,[3]Resultado!$B$4:$E$29,2,0)</f>
        <v>26</v>
      </c>
      <c r="D10" s="60">
        <f>+VLOOKUP(B10,[3]Resultado!$B$4:$E$29,3,0)</f>
        <v>-37534389</v>
      </c>
      <c r="E10" s="60">
        <f>+VLOOKUP(B10,[3]Resultado!$B$4:$E$29,4,0)</f>
        <v>-34179568</v>
      </c>
      <c r="F10" s="99"/>
      <c r="G10" s="155">
        <f t="shared" si="0"/>
        <v>-3354821</v>
      </c>
      <c r="H10" s="180">
        <f t="shared" si="1"/>
        <v>9.8152820421837983E-2</v>
      </c>
      <c r="I10" s="215"/>
      <c r="J10" s="155" t="e">
        <f>+ROUND((#REF!-#REF!),0)</f>
        <v>#REF!</v>
      </c>
      <c r="K10" s="180">
        <f>IFERROR(J10/#REF!,1)</f>
        <v>1</v>
      </c>
    </row>
    <row r="11" spans="1:11" s="100" customFormat="1" ht="21" customHeight="1">
      <c r="B11" s="82" t="s">
        <v>197</v>
      </c>
      <c r="C11" s="63">
        <f>+VLOOKUP(B11,[3]Resultado!$B$4:$E$29,2,0)</f>
        <v>27</v>
      </c>
      <c r="D11" s="60">
        <f>+VLOOKUP(B11,[3]Resultado!$B$4:$E$29,3,0)</f>
        <v>3150580</v>
      </c>
      <c r="E11" s="60">
        <f>+VLOOKUP(B11,[3]Resultado!$B$4:$E$29,4,0)</f>
        <v>-611396</v>
      </c>
      <c r="F11" s="99"/>
      <c r="G11" s="155">
        <f t="shared" si="0"/>
        <v>3761976</v>
      </c>
      <c r="H11" s="180">
        <f t="shared" si="1"/>
        <v>-6.153092267532009</v>
      </c>
      <c r="I11" s="215"/>
      <c r="J11" s="155" t="e">
        <f>+ROUND((#REF!-#REF!),0)</f>
        <v>#REF!</v>
      </c>
      <c r="K11" s="180">
        <f>IFERROR(J11/#REF!,1)</f>
        <v>1</v>
      </c>
    </row>
    <row r="12" spans="1:11" s="100" customFormat="1" ht="21" customHeight="1">
      <c r="B12" s="191" t="s">
        <v>213</v>
      </c>
      <c r="C12" s="192"/>
      <c r="D12" s="192">
        <f>+SUM(D5:D11)</f>
        <v>90331368</v>
      </c>
      <c r="E12" s="192">
        <f t="shared" ref="E12" si="2">+SUM(E5:E11)</f>
        <v>82767065</v>
      </c>
      <c r="F12" s="99"/>
      <c r="G12" s="155"/>
      <c r="H12" s="180"/>
      <c r="I12" s="215"/>
      <c r="J12" s="155"/>
      <c r="K12" s="180"/>
    </row>
    <row r="13" spans="1:11" s="100" customFormat="1" ht="21" customHeight="1">
      <c r="B13" s="82" t="s">
        <v>24</v>
      </c>
      <c r="C13" s="63">
        <f>+VLOOKUP(B13,[3]Resultado!$B$4:$E$29,2,0)</f>
        <v>27</v>
      </c>
      <c r="D13" s="60">
        <f>+VLOOKUP(B13,[3]Resultado!$B$4:$E$29,3,0)</f>
        <v>2018035</v>
      </c>
      <c r="E13" s="60">
        <f>+VLOOKUP(B13,[3]Resultado!$B$4:$E$29,4,0)</f>
        <v>5283665</v>
      </c>
      <c r="F13" s="99"/>
      <c r="G13" s="155">
        <f>+ROUND((D13-E13),0)</f>
        <v>-3265630</v>
      </c>
      <c r="H13" s="180">
        <f>IFERROR(G13/E13,1)</f>
        <v>-0.61806151601208625</v>
      </c>
      <c r="I13" s="215"/>
      <c r="J13" s="155" t="e">
        <f>+ROUND((#REF!-#REF!),0)</f>
        <v>#REF!</v>
      </c>
      <c r="K13" s="180">
        <f>IFERROR(J13/#REF!,1)</f>
        <v>1</v>
      </c>
    </row>
    <row r="14" spans="1:11" s="100" customFormat="1" ht="21" customHeight="1">
      <c r="B14" s="82" t="s">
        <v>265</v>
      </c>
      <c r="C14" s="63">
        <f>+VLOOKUP(B14,[3]Resultado!$B$4:$E$29,2,0)</f>
        <v>27</v>
      </c>
      <c r="D14" s="60">
        <f>+VLOOKUP(B14,[3]Resultado!$B$4:$E$29,3,0)</f>
        <v>-11555871</v>
      </c>
      <c r="E14" s="60">
        <f>+VLOOKUP(B14,[3]Resultado!$B$4:$E$29,4,0)</f>
        <v>-11753656</v>
      </c>
      <c r="F14" s="99"/>
      <c r="G14" s="155">
        <f>+ROUND((D14-E14),0)</f>
        <v>197785</v>
      </c>
      <c r="H14" s="180">
        <f>IFERROR(G14/E14,1)</f>
        <v>-1.682753008936113E-2</v>
      </c>
      <c r="I14" s="215"/>
      <c r="J14" s="155" t="e">
        <f>+ROUND((#REF!-#REF!),0)</f>
        <v>#REF!</v>
      </c>
      <c r="K14" s="180">
        <f>IFERROR(J14/#REF!,1)</f>
        <v>1</v>
      </c>
    </row>
    <row r="15" spans="1:11" s="100" customFormat="1" ht="21" customHeight="1">
      <c r="B15" s="82" t="s">
        <v>214</v>
      </c>
      <c r="C15" s="63">
        <f>+VLOOKUP(B15,[3]Resultado!$B$4:$E$29,2,0)</f>
        <v>28</v>
      </c>
      <c r="D15" s="60">
        <f>+VLOOKUP(B15,[3]Resultado!$B$4:$E$29,3,0)</f>
        <v>-12300</v>
      </c>
      <c r="E15" s="60">
        <f>+VLOOKUP(B15,[3]Resultado!$B$4:$E$29,4,0)</f>
        <v>71449</v>
      </c>
      <c r="F15" s="99"/>
      <c r="G15" s="155">
        <f>+ROUND((D15-E15),0)</f>
        <v>-83749</v>
      </c>
      <c r="H15" s="180">
        <f>IFERROR(G15/E15,1)</f>
        <v>-1.1721507648812439</v>
      </c>
      <c r="I15" s="215"/>
      <c r="J15" s="155" t="e">
        <f>+ROUND((#REF!-#REF!),0)</f>
        <v>#REF!</v>
      </c>
      <c r="K15" s="180">
        <f>IFERROR(J15/#REF!,1)</f>
        <v>1</v>
      </c>
    </row>
    <row r="16" spans="1:11" s="100" customFormat="1" ht="21" customHeight="1">
      <c r="B16" s="82" t="s">
        <v>266</v>
      </c>
      <c r="C16" s="63">
        <f>+VLOOKUP(B16,[3]Resultado!$B$4:$E$29,2,0)</f>
        <v>29</v>
      </c>
      <c r="D16" s="60">
        <f>+VLOOKUP(B16,[3]Resultado!$B$4:$E$29,3,0)</f>
        <v>-8346657</v>
      </c>
      <c r="E16" s="60">
        <f>+VLOOKUP(B16,[3]Resultado!$B$4:$E$29,4,0)</f>
        <v>-13329316</v>
      </c>
      <c r="F16" s="99"/>
      <c r="G16" s="155">
        <f>+ROUND((D16-E16),0)</f>
        <v>4982659</v>
      </c>
      <c r="H16" s="180">
        <f>IFERROR(G16/E16,1)</f>
        <v>-0.37381205457204253</v>
      </c>
      <c r="I16" s="215"/>
      <c r="J16" s="155" t="e">
        <f>+ROUND((#REF!-#REF!),0)</f>
        <v>#REF!</v>
      </c>
      <c r="K16" s="180">
        <f>IFERROR(J16/#REF!,1)</f>
        <v>1</v>
      </c>
    </row>
    <row r="17" spans="2:11" s="100" customFormat="1" ht="21" customHeight="1" thickBot="1">
      <c r="B17" s="82" t="s">
        <v>225</v>
      </c>
      <c r="C17" s="63"/>
      <c r="D17" s="60"/>
      <c r="E17" s="60"/>
      <c r="F17" s="99"/>
      <c r="G17" s="155"/>
      <c r="H17" s="180"/>
      <c r="I17" s="215"/>
      <c r="J17" s="155"/>
      <c r="K17" s="180"/>
    </row>
    <row r="18" spans="2:11" s="100" customFormat="1" ht="21" customHeight="1" thickBot="1">
      <c r="B18" s="86" t="s">
        <v>173</v>
      </c>
      <c r="C18" s="87"/>
      <c r="D18" s="88">
        <f>SUM(D12:D16)</f>
        <v>72434575</v>
      </c>
      <c r="E18" s="88">
        <f>SUM(E12:E16)</f>
        <v>63039207</v>
      </c>
      <c r="F18" s="99"/>
      <c r="G18" s="178">
        <f>+ROUND((D18-E18),0)</f>
        <v>9395368</v>
      </c>
      <c r="H18" s="183">
        <f>IFERROR(G18/E18,1)</f>
        <v>0.14904007279152481</v>
      </c>
      <c r="I18" s="216"/>
      <c r="J18" s="178" t="e">
        <f>+ROUND((#REF!-#REF!),0)</f>
        <v>#REF!</v>
      </c>
      <c r="K18" s="183">
        <f>IFERROR(J18/#REF!,1)</f>
        <v>1</v>
      </c>
    </row>
    <row r="19" spans="2:11" s="100" customFormat="1" ht="21" customHeight="1" thickBot="1">
      <c r="B19" s="82" t="s">
        <v>267</v>
      </c>
      <c r="C19" s="63">
        <f>+VLOOKUP(B19,[3]Resultado!$B$4:$E$29,2,0)</f>
        <v>15</v>
      </c>
      <c r="D19" s="60">
        <f>+VLOOKUP(B19,[3]Resultado!$B$4:$E$29,3,0)</f>
        <v>-17524580</v>
      </c>
      <c r="E19" s="60">
        <f>+VLOOKUP(B19,[3]Resultado!$B$4:$E$29,4,0)</f>
        <v>-14126270</v>
      </c>
      <c r="F19" s="99"/>
      <c r="G19" s="155">
        <f>+ROUND((D19-E19),0)</f>
        <v>-3398310</v>
      </c>
      <c r="H19" s="180">
        <f>IFERROR(G19/E19,1)</f>
        <v>0.24056668887115989</v>
      </c>
      <c r="I19" s="215"/>
      <c r="J19" s="155" t="e">
        <f>+ROUND((#REF!-#REF!),0)</f>
        <v>#REF!</v>
      </c>
      <c r="K19" s="180">
        <f>IFERROR(J19/#REF!,1)</f>
        <v>1</v>
      </c>
    </row>
    <row r="20" spans="2:11" s="100" customFormat="1" ht="21" customHeight="1" thickBot="1">
      <c r="B20" s="86" t="s">
        <v>174</v>
      </c>
      <c r="C20" s="89"/>
      <c r="D20" s="88">
        <f>+D18+D19</f>
        <v>54909995</v>
      </c>
      <c r="E20" s="88">
        <f>+E18+E19</f>
        <v>48912937</v>
      </c>
      <c r="F20" s="99"/>
      <c r="G20" s="178">
        <f>+ROUND((D20-E20),0)</f>
        <v>5997058</v>
      </c>
      <c r="H20" s="183">
        <f>IFERROR(G20/E20,1)</f>
        <v>0.12260678601246128</v>
      </c>
      <c r="I20" s="216"/>
      <c r="J20" s="178" t="e">
        <f>+ROUND((#REF!-#REF!),0)</f>
        <v>#REF!</v>
      </c>
      <c r="K20" s="183">
        <f>IFERROR(J20/#REF!,1)</f>
        <v>1</v>
      </c>
    </row>
    <row r="21" spans="2:11" s="100" customFormat="1" ht="23.25" customHeight="1">
      <c r="B21" s="84" t="s">
        <v>226</v>
      </c>
      <c r="C21" s="90"/>
      <c r="D21" s="60">
        <f>+VLOOKUP(B21,[3]Resultado!$B$4:$E$29,3,0)</f>
        <v>0</v>
      </c>
      <c r="E21" s="60">
        <f>+VLOOKUP(B21,[3]Resultado!$B$4:$E$29,4,0)</f>
        <v>0</v>
      </c>
      <c r="F21" s="99"/>
      <c r="G21" s="155">
        <f>+ROUND((D21-E21),0)</f>
        <v>0</v>
      </c>
      <c r="H21" s="180">
        <f>IFERROR(G21/E21,1)</f>
        <v>1</v>
      </c>
      <c r="I21" s="215"/>
      <c r="J21" s="155" t="e">
        <f>+ROUND((#REF!-#REF!),0)</f>
        <v>#REF!</v>
      </c>
      <c r="K21" s="180">
        <f>IFERROR(J21/#REF!,1)</f>
        <v>1</v>
      </c>
    </row>
    <row r="22" spans="2:11" s="100" customFormat="1" ht="23.25" customHeight="1" thickBot="1">
      <c r="B22" s="84"/>
      <c r="C22" s="90"/>
      <c r="D22" s="60"/>
      <c r="E22" s="60"/>
      <c r="F22" s="99"/>
      <c r="G22" s="155"/>
      <c r="H22" s="180"/>
      <c r="I22" s="215"/>
      <c r="J22" s="155"/>
      <c r="K22" s="180"/>
    </row>
    <row r="23" spans="2:11" s="100" customFormat="1" ht="21" customHeight="1" thickBot="1">
      <c r="B23" s="86" t="s">
        <v>53</v>
      </c>
      <c r="C23" s="89"/>
      <c r="D23" s="88">
        <f>+D20+D21</f>
        <v>54909995</v>
      </c>
      <c r="E23" s="88">
        <f t="shared" ref="E23" si="3">+E20+E21</f>
        <v>48912937</v>
      </c>
      <c r="F23" s="99"/>
      <c r="G23" s="178">
        <f>+ROUND((D23-E23),0)</f>
        <v>5997058</v>
      </c>
      <c r="H23" s="183">
        <f>IFERROR(G23/E23,1)</f>
        <v>0.12260678601246128</v>
      </c>
      <c r="I23" s="216"/>
      <c r="J23" s="178" t="e">
        <f>+ROUND((#REF!-#REF!),0)</f>
        <v>#REF!</v>
      </c>
      <c r="K23" s="183">
        <f>IFERROR(J23/#REF!,1)</f>
        <v>1</v>
      </c>
    </row>
    <row r="24" spans="2:11" s="100" customFormat="1" ht="21" customHeight="1" thickBot="1">
      <c r="B24" s="91" t="s">
        <v>175</v>
      </c>
      <c r="C24" s="92" t="s">
        <v>4</v>
      </c>
      <c r="D24" s="93"/>
      <c r="E24" s="85"/>
      <c r="F24" s="99"/>
      <c r="G24" s="155"/>
      <c r="H24" s="180"/>
      <c r="I24" s="215"/>
      <c r="J24" s="155"/>
      <c r="K24" s="180"/>
    </row>
    <row r="25" spans="2:11" s="100" customFormat="1" ht="21" customHeight="1" thickBot="1">
      <c r="B25" s="94" t="s">
        <v>26</v>
      </c>
      <c r="C25" s="89"/>
      <c r="D25" s="95">
        <f>+D23-D26</f>
        <v>54909068</v>
      </c>
      <c r="E25" s="95">
        <f>+E23-E26</f>
        <v>48912118</v>
      </c>
      <c r="F25" s="99"/>
      <c r="G25" s="178">
        <f>+ROUND((D25-E25),0)</f>
        <v>5996950</v>
      </c>
      <c r="H25" s="183">
        <f>IFERROR(G25/E25,1)</f>
        <v>0.12260663093755213</v>
      </c>
      <c r="I25" s="216"/>
      <c r="J25" s="178" t="e">
        <f>+ROUND((#REF!-#REF!),0)</f>
        <v>#REF!</v>
      </c>
      <c r="K25" s="183">
        <f>IFERROR(J25/#REF!,1)</f>
        <v>1</v>
      </c>
    </row>
    <row r="26" spans="2:11" s="100" customFormat="1" ht="21" customHeight="1" thickBot="1">
      <c r="B26" s="84" t="s">
        <v>268</v>
      </c>
      <c r="C26" s="63">
        <f>+VLOOKUP(B26,[3]Resultado!$B$4:$E$29,2,0)</f>
        <v>22</v>
      </c>
      <c r="D26" s="60">
        <f>+VLOOKUP(B26,[3]Resultado!$B$4:$E$29,3,0)</f>
        <v>927</v>
      </c>
      <c r="E26" s="60">
        <f>+VLOOKUP(B26,[3]Resultado!$B$4:$E$29,4,0)</f>
        <v>819</v>
      </c>
      <c r="F26" s="99"/>
      <c r="G26" s="155">
        <f>+ROUND((D26-E26),0)</f>
        <v>108</v>
      </c>
      <c r="H26" s="180">
        <f>IFERROR(G26/E26,1)</f>
        <v>0.13186813186813187</v>
      </c>
      <c r="I26" s="215"/>
      <c r="J26" s="155" t="e">
        <f>+ROUND((#REF!-#REF!),0)</f>
        <v>#REF!</v>
      </c>
      <c r="K26" s="180">
        <f>IFERROR(J26/#REF!,1)</f>
        <v>1</v>
      </c>
    </row>
    <row r="27" spans="2:11" s="100" customFormat="1" ht="21" customHeight="1" thickBot="1">
      <c r="B27" s="96" t="s">
        <v>54</v>
      </c>
      <c r="C27" s="97"/>
      <c r="D27" s="95">
        <f>+D25+D26</f>
        <v>54909995</v>
      </c>
      <c r="E27" s="95">
        <f t="shared" ref="E27" si="4">+E25+E26</f>
        <v>48912937</v>
      </c>
      <c r="F27" s="99"/>
      <c r="G27" s="178">
        <f>+ROUND((D27-E27),0)</f>
        <v>5997058</v>
      </c>
      <c r="H27" s="183">
        <f>IFERROR(G27/E27,1)</f>
        <v>0.12260678601246128</v>
      </c>
      <c r="I27" s="216"/>
      <c r="J27" s="178" t="e">
        <f>+ROUND((#REF!-#REF!),0)</f>
        <v>#REF!</v>
      </c>
      <c r="K27" s="183">
        <f>IFERROR(J27/#REF!,1)</f>
        <v>1</v>
      </c>
    </row>
    <row r="28" spans="2:11" s="100" customFormat="1" ht="21" customHeight="1">
      <c r="B28" s="98" t="s">
        <v>176</v>
      </c>
      <c r="C28" s="92"/>
      <c r="D28" s="99"/>
      <c r="E28" s="85"/>
      <c r="G28" s="155"/>
      <c r="H28" s="180"/>
      <c r="I28" s="215"/>
      <c r="J28" s="155"/>
      <c r="K28" s="180"/>
    </row>
    <row r="29" spans="2:11" s="100" customFormat="1" ht="21" customHeight="1">
      <c r="B29" s="150" t="s">
        <v>209</v>
      </c>
      <c r="C29" s="63">
        <f>+VLOOKUP(B29,[3]Resultado!$B$4:$E$29,2,0)</f>
        <v>31</v>
      </c>
      <c r="D29" s="151">
        <f>+D25/6118965</f>
        <v>8.9735875266487053</v>
      </c>
      <c r="E29" s="151">
        <f>+E25/6118965</f>
        <v>7.9935279904362915</v>
      </c>
      <c r="G29" s="155"/>
      <c r="H29" s="180"/>
      <c r="I29" s="215"/>
      <c r="J29" s="155"/>
      <c r="K29" s="180"/>
    </row>
    <row r="30" spans="2:11" s="100" customFormat="1" ht="21" customHeight="1" thickBot="1">
      <c r="B30" s="101" t="s">
        <v>55</v>
      </c>
      <c r="C30" s="102"/>
      <c r="D30" s="103">
        <f>+D29</f>
        <v>8.9735875266487053</v>
      </c>
      <c r="E30" s="103">
        <f t="shared" ref="E30" si="5">+E29</f>
        <v>7.9935279904362915</v>
      </c>
      <c r="G30" s="181"/>
      <c r="H30" s="182"/>
      <c r="I30" s="215"/>
      <c r="J30" s="181"/>
      <c r="K30" s="182"/>
    </row>
    <row r="31" spans="2:11" ht="9" customHeight="1">
      <c r="B31" s="109"/>
      <c r="C31" s="109"/>
      <c r="D31" s="109"/>
      <c r="E31" s="109"/>
    </row>
  </sheetData>
  <mergeCells count="6">
    <mergeCell ref="B3:B4"/>
    <mergeCell ref="C3:C4"/>
    <mergeCell ref="G3:H3"/>
    <mergeCell ref="J3:K3"/>
    <mergeCell ref="G2:H2"/>
    <mergeCell ref="J2:K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92D050"/>
    <pageSetUpPr fitToPage="1"/>
  </sheetPr>
  <dimension ref="B1:L73"/>
  <sheetViews>
    <sheetView showGridLines="0" zoomScale="90" zoomScaleNormal="90" workbookViewId="0">
      <selection activeCell="G65" sqref="G65"/>
    </sheetView>
  </sheetViews>
  <sheetFormatPr baseColWidth="10" defaultColWidth="11.453125" defaultRowHeight="13"/>
  <cols>
    <col min="1" max="1" width="6.1796875" style="108" customWidth="1"/>
    <col min="2" max="2" width="71.81640625" style="108" customWidth="1"/>
    <col min="3" max="3" width="5.54296875" style="108" customWidth="1"/>
    <col min="4" max="5" width="12.453125" style="108" bestFit="1" customWidth="1"/>
    <col min="6" max="6" width="4.81640625" style="108" customWidth="1"/>
    <col min="7" max="7" width="12" style="172" bestFit="1" customWidth="1"/>
    <col min="8" max="8" width="11.453125" style="174"/>
    <col min="9" max="9" width="11.453125" style="108"/>
    <col min="10" max="10" width="13.54296875" style="108" customWidth="1"/>
    <col min="11" max="11" width="12.453125" style="108" bestFit="1" customWidth="1"/>
    <col min="12" max="16384" width="11.453125" style="108"/>
  </cols>
  <sheetData>
    <row r="1" spans="2:12" ht="13.5" thickBot="1"/>
    <row r="2" spans="2:12" s="109" customFormat="1" ht="12" customHeight="1">
      <c r="B2" s="329" t="s">
        <v>143</v>
      </c>
      <c r="C2" s="331" t="s">
        <v>29</v>
      </c>
      <c r="D2" s="147">
        <f>+Resultado!D3</f>
        <v>45382</v>
      </c>
      <c r="E2" s="148">
        <f>+Resultado!E3</f>
        <v>45016</v>
      </c>
      <c r="G2" s="326" t="s">
        <v>158</v>
      </c>
      <c r="H2" s="327"/>
    </row>
    <row r="3" spans="2:12" s="109" customFormat="1" ht="12" customHeight="1">
      <c r="B3" s="330"/>
      <c r="C3" s="332"/>
      <c r="D3" s="110" t="s">
        <v>5</v>
      </c>
      <c r="E3" s="111" t="s">
        <v>5</v>
      </c>
      <c r="G3" s="184" t="s">
        <v>5</v>
      </c>
      <c r="H3" s="185" t="s">
        <v>15</v>
      </c>
    </row>
    <row r="4" spans="2:12" s="114" customFormat="1" ht="21" customHeight="1">
      <c r="B4" s="104" t="s">
        <v>57</v>
      </c>
      <c r="C4" s="105"/>
      <c r="D4" s="193">
        <f>+VLOOKUP(B4,[4]Flujo!$B$5:$D$72,3,0)</f>
        <v>209483331</v>
      </c>
      <c r="E4" s="193">
        <f>+VLOOKUP(B4,[4]Flujo!$B$5:$E$72,4,0)</f>
        <v>197428678</v>
      </c>
      <c r="F4" s="113"/>
      <c r="G4" s="155">
        <f>ROUND(+(D4-E4),0)</f>
        <v>12054653</v>
      </c>
      <c r="H4" s="186">
        <f>+IFERROR(G4/E4,1)</f>
        <v>6.1058267330341948E-2</v>
      </c>
      <c r="K4" s="149"/>
      <c r="L4" s="149"/>
    </row>
    <row r="5" spans="2:12" s="114" customFormat="1" ht="21" customHeight="1">
      <c r="B5" s="104" t="s">
        <v>59</v>
      </c>
      <c r="C5" s="105"/>
      <c r="D5" s="193">
        <f>+VLOOKUP(B5,[4]Flujo!$B$5:$D$72,3,0)</f>
        <v>0</v>
      </c>
      <c r="E5" s="193">
        <f>+VLOOKUP(B5,[4]Flujo!$B$5:$E$72,4,0)</f>
        <v>0</v>
      </c>
      <c r="F5" s="113"/>
      <c r="G5" s="155">
        <f t="shared" ref="G5:G62" si="0">ROUND(+(D5-E5),0)</f>
        <v>0</v>
      </c>
      <c r="H5" s="186"/>
    </row>
    <row r="6" spans="2:12" s="114" customFormat="1" ht="21" customHeight="1">
      <c r="B6" s="104" t="s">
        <v>58</v>
      </c>
      <c r="C6" s="105"/>
      <c r="D6" s="193">
        <f>+VLOOKUP(B6,[4]Flujo!$B$5:$D$72,3,0)</f>
        <v>0</v>
      </c>
      <c r="E6" s="193">
        <f>+VLOOKUP(B6,[4]Flujo!$B$5:$E$72,4,0)</f>
        <v>0</v>
      </c>
      <c r="F6" s="113"/>
      <c r="G6" s="155">
        <f t="shared" si="0"/>
        <v>0</v>
      </c>
      <c r="H6" s="186"/>
    </row>
    <row r="7" spans="2:12" s="114" customFormat="1" ht="21" customHeight="1">
      <c r="B7" s="104" t="s">
        <v>60</v>
      </c>
      <c r="C7" s="105"/>
      <c r="D7" s="193">
        <f>+VLOOKUP(B7,[4]Flujo!$B$5:$D$72,3,0)</f>
        <v>0</v>
      </c>
      <c r="E7" s="193">
        <f>+VLOOKUP(B7,[4]Flujo!$B$5:$E$72,4,0)</f>
        <v>0</v>
      </c>
      <c r="F7" s="113"/>
      <c r="G7" s="155">
        <f t="shared" si="0"/>
        <v>0</v>
      </c>
      <c r="H7" s="186">
        <f t="shared" ref="H7:H64" si="1">+IFERROR(G7/E7,1)</f>
        <v>1</v>
      </c>
      <c r="K7" s="149"/>
      <c r="L7" s="149"/>
    </row>
    <row r="8" spans="2:12" s="114" customFormat="1" ht="21" customHeight="1">
      <c r="B8" s="104" t="s">
        <v>61</v>
      </c>
      <c r="C8" s="105"/>
      <c r="D8" s="193">
        <f>+VLOOKUP(B8,[4]Flujo!$B$5:$D$72,3,0)</f>
        <v>2092287</v>
      </c>
      <c r="E8" s="193">
        <f>+VLOOKUP(B8,[4]Flujo!$B$5:$E$72,4,0)</f>
        <v>1147934</v>
      </c>
      <c r="F8" s="113"/>
      <c r="G8" s="155">
        <f t="shared" si="0"/>
        <v>944353</v>
      </c>
      <c r="H8" s="186">
        <f t="shared" si="1"/>
        <v>0.82265443832136687</v>
      </c>
      <c r="K8" s="149"/>
      <c r="L8" s="149"/>
    </row>
    <row r="9" spans="2:12" s="114" customFormat="1" ht="21" customHeight="1">
      <c r="B9" s="106" t="s">
        <v>56</v>
      </c>
      <c r="C9" s="105"/>
      <c r="D9" s="194">
        <f>SUM(D4:D8)</f>
        <v>211575618</v>
      </c>
      <c r="E9" s="195">
        <f>SUM(E4:E8)</f>
        <v>198576612</v>
      </c>
      <c r="F9" s="113"/>
      <c r="G9" s="156">
        <f t="shared" si="0"/>
        <v>12999006</v>
      </c>
      <c r="H9" s="188">
        <f t="shared" si="1"/>
        <v>6.5460911378627001E-2</v>
      </c>
      <c r="K9" s="149"/>
      <c r="L9" s="149"/>
    </row>
    <row r="10" spans="2:12" s="114" customFormat="1" ht="21" customHeight="1">
      <c r="B10" s="104" t="s">
        <v>62</v>
      </c>
      <c r="C10" s="105"/>
      <c r="D10" s="193">
        <f>+VLOOKUP(B10,[4]Flujo!$B$5:$D$72,3,0)</f>
        <v>-80782172</v>
      </c>
      <c r="E10" s="193">
        <f>+VLOOKUP(B10,[4]Flujo!$B$5:$E$72,4,0)</f>
        <v>-71810147</v>
      </c>
      <c r="F10" s="113"/>
      <c r="G10" s="253">
        <f t="shared" si="0"/>
        <v>-8972025</v>
      </c>
      <c r="H10" s="186">
        <f t="shared" si="1"/>
        <v>0.12494090842064423</v>
      </c>
      <c r="K10" s="149"/>
      <c r="L10" s="149"/>
    </row>
    <row r="11" spans="2:12" s="114" customFormat="1" ht="21" customHeight="1">
      <c r="B11" s="104" t="s">
        <v>63</v>
      </c>
      <c r="C11" s="105"/>
      <c r="D11" s="193">
        <f>+VLOOKUP(B11,[4]Flujo!$B$5:$D$72,3,0)</f>
        <v>0</v>
      </c>
      <c r="E11" s="193">
        <f>+VLOOKUP(B11,[4]Flujo!$B$5:$E$72,4,0)</f>
        <v>0</v>
      </c>
      <c r="F11" s="113"/>
      <c r="G11" s="155">
        <f t="shared" si="0"/>
        <v>0</v>
      </c>
      <c r="H11" s="186">
        <f t="shared" si="1"/>
        <v>1</v>
      </c>
      <c r="K11" s="149"/>
      <c r="L11" s="149"/>
    </row>
    <row r="12" spans="2:12" s="114" customFormat="1" ht="21" customHeight="1">
      <c r="B12" s="104" t="s">
        <v>64</v>
      </c>
      <c r="C12" s="107"/>
      <c r="D12" s="193">
        <f>+VLOOKUP(B12,[4]Flujo!$B$5:$D$72,3,0)</f>
        <v>-22815603</v>
      </c>
      <c r="E12" s="193">
        <f>+VLOOKUP(B12,[4]Flujo!$B$5:$E$72,4,0)</f>
        <v>-21286104</v>
      </c>
      <c r="F12" s="113"/>
      <c r="G12" s="155">
        <f t="shared" si="0"/>
        <v>-1529499</v>
      </c>
      <c r="H12" s="186">
        <f t="shared" si="1"/>
        <v>7.185434215674226E-2</v>
      </c>
      <c r="K12" s="149"/>
      <c r="L12" s="149"/>
    </row>
    <row r="13" spans="2:12" s="114" customFormat="1" ht="21" customHeight="1">
      <c r="B13" s="104" t="s">
        <v>65</v>
      </c>
      <c r="C13" s="105"/>
      <c r="D13" s="193">
        <v>0</v>
      </c>
      <c r="E13" s="193">
        <v>0</v>
      </c>
      <c r="F13" s="113"/>
      <c r="G13" s="253">
        <f>ROUND(+(D13-E13),0)</f>
        <v>0</v>
      </c>
      <c r="H13" s="186">
        <f t="shared" si="1"/>
        <v>1</v>
      </c>
      <c r="K13" s="149"/>
      <c r="L13" s="149"/>
    </row>
    <row r="14" spans="2:12" s="114" customFormat="1" ht="21" customHeight="1">
      <c r="B14" s="104" t="s">
        <v>66</v>
      </c>
      <c r="C14" s="105"/>
      <c r="D14" s="193">
        <f>+VLOOKUP(B14,[4]Flujo!$B$5:$D$72,3,0)-1205961</f>
        <v>-15874983</v>
      </c>
      <c r="E14" s="193">
        <f>+VLOOKUP(B14,[4]Flujo!$B$5:$E$72,4,0)-1180684</f>
        <v>-15416711</v>
      </c>
      <c r="F14" s="113"/>
      <c r="G14" s="155">
        <f t="shared" si="0"/>
        <v>-458272</v>
      </c>
      <c r="H14" s="186">
        <f t="shared" si="1"/>
        <v>2.9725665869977064E-2</v>
      </c>
      <c r="I14" s="114" t="s">
        <v>243</v>
      </c>
      <c r="K14" s="149"/>
      <c r="L14" s="149"/>
    </row>
    <row r="15" spans="2:12" s="114" customFormat="1" ht="21" customHeight="1">
      <c r="B15" s="106" t="s">
        <v>144</v>
      </c>
      <c r="C15" s="105"/>
      <c r="D15" s="194">
        <f>SUM(D10:D14)</f>
        <v>-119472758</v>
      </c>
      <c r="E15" s="195">
        <f>SUM(E10:E14)</f>
        <v>-108512962</v>
      </c>
      <c r="F15" s="113"/>
      <c r="G15" s="156">
        <f t="shared" si="0"/>
        <v>-10959796</v>
      </c>
      <c r="H15" s="188">
        <f t="shared" si="1"/>
        <v>0.10099987870573471</v>
      </c>
      <c r="K15" s="149"/>
      <c r="L15" s="149"/>
    </row>
    <row r="16" spans="2:12" s="114" customFormat="1" ht="21" customHeight="1">
      <c r="B16" s="104" t="s">
        <v>290</v>
      </c>
      <c r="C16" s="105"/>
      <c r="D16" s="193">
        <f>+VLOOKUP(B16,[4]Flujo!$B$5:$D$72,3,0)</f>
        <v>0</v>
      </c>
      <c r="E16" s="193">
        <f>+VLOOKUP(B16,[4]Flujo!$B$5:$E$72,4,0)</f>
        <v>0</v>
      </c>
      <c r="F16" s="113"/>
      <c r="G16" s="155"/>
      <c r="H16" s="186">
        <f t="shared" si="1"/>
        <v>1</v>
      </c>
      <c r="K16" s="149"/>
      <c r="L16" s="149"/>
    </row>
    <row r="17" spans="2:12" s="114" customFormat="1" ht="21" customHeight="1">
      <c r="B17" s="104" t="s">
        <v>291</v>
      </c>
      <c r="C17" s="105"/>
      <c r="D17" s="193">
        <f>+VLOOKUP(B17,[4]Flujo!$B$5:$D$72,3,0)</f>
        <v>0</v>
      </c>
      <c r="E17" s="193">
        <f>+VLOOKUP(B17,[4]Flujo!$B$5:$E$72,4,0)</f>
        <v>0</v>
      </c>
      <c r="F17" s="113"/>
      <c r="G17" s="155"/>
      <c r="H17" s="186">
        <f t="shared" si="1"/>
        <v>1</v>
      </c>
      <c r="K17" s="149"/>
      <c r="L17" s="149"/>
    </row>
    <row r="18" spans="2:12" s="114" customFormat="1" ht="21" customHeight="1">
      <c r="B18" s="104" t="s">
        <v>292</v>
      </c>
      <c r="C18" s="105"/>
      <c r="D18" s="193">
        <f>+VLOOKUP(B18,[4]Flujo!$B$5:$D$72,3,0)</f>
        <v>-7785475</v>
      </c>
      <c r="E18" s="193">
        <f>+VLOOKUP(B18,[4]Flujo!$B$5:$E$72,4,0)</f>
        <v>-8283047</v>
      </c>
      <c r="F18" s="113"/>
      <c r="G18" s="253">
        <f t="shared" si="0"/>
        <v>497572</v>
      </c>
      <c r="H18" s="186">
        <f t="shared" si="1"/>
        <v>-6.0071130829029463E-2</v>
      </c>
      <c r="K18" s="149"/>
      <c r="L18" s="149"/>
    </row>
    <row r="19" spans="2:12" s="114" customFormat="1" ht="21" customHeight="1">
      <c r="B19" s="104" t="s">
        <v>293</v>
      </c>
      <c r="C19" s="105"/>
      <c r="D19" s="193">
        <f>+VLOOKUP(B19,[4]Flujo!$B$5:$D$72,3,0)</f>
        <v>1575023</v>
      </c>
      <c r="E19" s="193">
        <f>+VLOOKUP(B19,[4]Flujo!$B$5:$E$72,4,0)</f>
        <v>4567051</v>
      </c>
      <c r="F19" s="113"/>
      <c r="G19" s="155">
        <f t="shared" si="0"/>
        <v>-2992028</v>
      </c>
      <c r="H19" s="186">
        <f t="shared" si="1"/>
        <v>-0.65513347672272548</v>
      </c>
      <c r="I19" s="114" t="s">
        <v>247</v>
      </c>
      <c r="K19" s="149"/>
      <c r="L19" s="149"/>
    </row>
    <row r="20" spans="2:12" s="114" customFormat="1" ht="21" customHeight="1">
      <c r="B20" s="104" t="s">
        <v>289</v>
      </c>
      <c r="C20" s="105"/>
      <c r="D20" s="193">
        <f>+VLOOKUP(B20,[4]Flujo!$B$5:$D$72,3,0)</f>
        <v>-13225213</v>
      </c>
      <c r="E20" s="193">
        <f>+VLOOKUP(B20,[4]Flujo!$B$5:$E$72,4,0)</f>
        <v>-12520308</v>
      </c>
      <c r="F20" s="113"/>
      <c r="G20" s="253">
        <f t="shared" si="0"/>
        <v>-704905</v>
      </c>
      <c r="H20" s="186">
        <f t="shared" si="1"/>
        <v>5.6300931255045802E-2</v>
      </c>
      <c r="K20" s="149"/>
      <c r="L20" s="149"/>
    </row>
    <row r="21" spans="2:12" s="114" customFormat="1" ht="21" customHeight="1">
      <c r="B21" s="104" t="s">
        <v>294</v>
      </c>
      <c r="C21" s="105"/>
      <c r="D21" s="193">
        <f>+VLOOKUP(B21,[4]Flujo!$B$5:$D$72,3,0)</f>
        <v>-11225862</v>
      </c>
      <c r="E21" s="193">
        <f>+VLOOKUP(B21,[4]Flujo!$B$5:$E$72,4,0)</f>
        <v>-7216883</v>
      </c>
      <c r="F21" s="113"/>
      <c r="G21" s="155">
        <f t="shared" si="0"/>
        <v>-4008979</v>
      </c>
      <c r="H21" s="186">
        <f t="shared" si="1"/>
        <v>0.55550006838132193</v>
      </c>
      <c r="K21" s="149"/>
      <c r="L21" s="149"/>
    </row>
    <row r="22" spans="2:12" s="114" customFormat="1" ht="21" customHeight="1" thickBot="1">
      <c r="B22" s="106" t="s">
        <v>227</v>
      </c>
      <c r="C22" s="105"/>
      <c r="D22" s="195">
        <f>SUM(D16:D21)</f>
        <v>-30661527</v>
      </c>
      <c r="E22" s="195">
        <f>SUM(E16:E21)</f>
        <v>-23453187</v>
      </c>
      <c r="F22" s="113"/>
      <c r="G22" s="156">
        <f t="shared" si="0"/>
        <v>-7208340</v>
      </c>
      <c r="H22" s="188">
        <f t="shared" si="1"/>
        <v>0.30735012687188312</v>
      </c>
      <c r="K22" s="149"/>
      <c r="L22" s="149"/>
    </row>
    <row r="23" spans="2:12" s="114" customFormat="1" ht="21" customHeight="1" thickBot="1">
      <c r="B23" s="116" t="s">
        <v>228</v>
      </c>
      <c r="C23" s="117"/>
      <c r="D23" s="196">
        <f>+D9+D15+D22</f>
        <v>61441333</v>
      </c>
      <c r="E23" s="196">
        <f>+E9+E15+E22</f>
        <v>66610463</v>
      </c>
      <c r="F23" s="113"/>
      <c r="G23" s="178">
        <f>ROUND(+(D23-E23),0)</f>
        <v>-5169130</v>
      </c>
      <c r="H23" s="189">
        <f t="shared" si="1"/>
        <v>-7.760237306862737E-2</v>
      </c>
      <c r="K23" s="149"/>
      <c r="L23" s="149"/>
    </row>
    <row r="24" spans="2:12" s="114" customFormat="1" ht="21" customHeight="1">
      <c r="B24" s="115" t="s">
        <v>71</v>
      </c>
      <c r="C24" s="112"/>
      <c r="D24" s="193">
        <f>+VLOOKUP(B24,[4]Flujo!$B$5:$D$72,3,0)</f>
        <v>0</v>
      </c>
      <c r="E24" s="193">
        <f>+VLOOKUP(B24,[4]Flujo!$B$5:$E$72,4,0)</f>
        <v>0</v>
      </c>
      <c r="F24" s="113"/>
      <c r="G24" s="155">
        <f t="shared" si="0"/>
        <v>0</v>
      </c>
      <c r="H24" s="186">
        <f t="shared" si="1"/>
        <v>1</v>
      </c>
      <c r="K24" s="149"/>
      <c r="L24" s="149"/>
    </row>
    <row r="25" spans="2:12" s="114" customFormat="1" ht="21" customHeight="1">
      <c r="B25" s="115" t="s">
        <v>72</v>
      </c>
      <c r="C25" s="112"/>
      <c r="D25" s="193">
        <f>+VLOOKUP(B25,[4]Flujo!$B$5:$D$72,3,0)</f>
        <v>0</v>
      </c>
      <c r="E25" s="193">
        <f>+VLOOKUP(B25,[4]Flujo!$B$5:$E$72,4,0)</f>
        <v>0</v>
      </c>
      <c r="F25" s="113"/>
      <c r="G25" s="155">
        <f t="shared" si="0"/>
        <v>0</v>
      </c>
      <c r="H25" s="186">
        <f t="shared" si="1"/>
        <v>1</v>
      </c>
      <c r="K25" s="149"/>
      <c r="L25" s="149"/>
    </row>
    <row r="26" spans="2:12" s="114" customFormat="1" ht="21" customHeight="1">
      <c r="B26" s="115" t="s">
        <v>73</v>
      </c>
      <c r="C26" s="112"/>
      <c r="D26" s="193">
        <f>+VLOOKUP(B26,[4]Flujo!$B$5:$D$72,3,0)</f>
        <v>0</v>
      </c>
      <c r="E26" s="193">
        <f>+VLOOKUP(B26,[4]Flujo!$B$5:$E$72,4,0)</f>
        <v>0</v>
      </c>
      <c r="F26" s="113"/>
      <c r="G26" s="155">
        <f t="shared" si="0"/>
        <v>0</v>
      </c>
      <c r="H26" s="186">
        <f t="shared" si="1"/>
        <v>1</v>
      </c>
      <c r="K26" s="149"/>
      <c r="L26" s="149"/>
    </row>
    <row r="27" spans="2:12" s="114" customFormat="1" ht="21" customHeight="1">
      <c r="B27" s="115" t="s">
        <v>74</v>
      </c>
      <c r="C27" s="112"/>
      <c r="D27" s="193">
        <f>+VLOOKUP(B27,[4]Flujo!$B$5:$D$72,3,0)</f>
        <v>0</v>
      </c>
      <c r="E27" s="193">
        <f>+VLOOKUP(B27,[4]Flujo!$B$5:$E$72,4,0)</f>
        <v>0</v>
      </c>
      <c r="F27" s="113"/>
      <c r="G27" s="155">
        <f t="shared" si="0"/>
        <v>0</v>
      </c>
      <c r="H27" s="186">
        <f t="shared" si="1"/>
        <v>1</v>
      </c>
      <c r="K27" s="149"/>
      <c r="L27" s="149"/>
    </row>
    <row r="28" spans="2:12" s="114" customFormat="1" ht="21" customHeight="1">
      <c r="B28" s="115" t="s">
        <v>75</v>
      </c>
      <c r="C28" s="112"/>
      <c r="D28" s="193">
        <f>+VLOOKUP(B28,[4]Flujo!$B$5:$D$72,3,0)</f>
        <v>0</v>
      </c>
      <c r="E28" s="193">
        <f>+VLOOKUP(B28,[4]Flujo!$B$5:$E$72,4,0)</f>
        <v>0</v>
      </c>
      <c r="F28" s="113"/>
      <c r="G28" s="155">
        <f t="shared" si="0"/>
        <v>0</v>
      </c>
      <c r="H28" s="186">
        <f t="shared" si="1"/>
        <v>1</v>
      </c>
      <c r="K28" s="149"/>
      <c r="L28" s="149"/>
    </row>
    <row r="29" spans="2:12" s="114" customFormat="1" ht="21" customHeight="1">
      <c r="B29" s="115" t="s">
        <v>76</v>
      </c>
      <c r="C29" s="112"/>
      <c r="D29" s="193">
        <f>+VLOOKUP(B29,[4]Flujo!$B$5:$D$72,3,0)</f>
        <v>0</v>
      </c>
      <c r="E29" s="193">
        <f>+VLOOKUP(B29,[4]Flujo!$B$5:$E$72,4,0)</f>
        <v>0</v>
      </c>
      <c r="F29" s="113"/>
      <c r="G29" s="155">
        <f t="shared" si="0"/>
        <v>0</v>
      </c>
      <c r="H29" s="186">
        <f t="shared" si="1"/>
        <v>1</v>
      </c>
      <c r="K29" s="149"/>
      <c r="L29" s="149"/>
    </row>
    <row r="30" spans="2:12" s="114" customFormat="1" ht="21" customHeight="1">
      <c r="B30" s="115" t="s">
        <v>77</v>
      </c>
      <c r="C30" s="112"/>
      <c r="D30" s="193">
        <f>+VLOOKUP(B30,[4]Flujo!$B$5:$D$72,3,0)</f>
        <v>0</v>
      </c>
      <c r="E30" s="193">
        <f>+VLOOKUP(B30,[4]Flujo!$B$5:$E$72,4,0)</f>
        <v>0</v>
      </c>
      <c r="F30" s="113"/>
      <c r="G30" s="155">
        <f t="shared" si="0"/>
        <v>0</v>
      </c>
      <c r="H30" s="186">
        <f t="shared" si="1"/>
        <v>1</v>
      </c>
      <c r="K30" s="149"/>
      <c r="L30" s="149"/>
    </row>
    <row r="31" spans="2:12" s="114" customFormat="1" ht="21" customHeight="1">
      <c r="B31" s="115" t="s">
        <v>78</v>
      </c>
      <c r="C31" s="112"/>
      <c r="D31" s="193">
        <f>+VLOOKUP(B31,[4]Flujo!$B$5:$D$72,3,0)</f>
        <v>0</v>
      </c>
      <c r="E31" s="193">
        <f>+VLOOKUP(B31,[4]Flujo!$B$5:$E$72,4,0)</f>
        <v>0</v>
      </c>
      <c r="F31" s="113"/>
      <c r="G31" s="155">
        <f t="shared" si="0"/>
        <v>0</v>
      </c>
      <c r="H31" s="186">
        <f t="shared" si="1"/>
        <v>1</v>
      </c>
      <c r="K31" s="149"/>
      <c r="L31" s="149"/>
    </row>
    <row r="32" spans="2:12" s="114" customFormat="1" ht="21" customHeight="1">
      <c r="B32" s="115" t="s">
        <v>210</v>
      </c>
      <c r="C32" s="112"/>
      <c r="D32" s="193">
        <f>+VLOOKUP(B32,[4]Flujo!$B$5:$D$72,3,0)</f>
        <v>4032103</v>
      </c>
      <c r="E32" s="193">
        <f>+VLOOKUP(B32,[4]Flujo!$B$5:$E$72,4,0)</f>
        <v>4620568</v>
      </c>
      <c r="F32" s="113"/>
      <c r="G32" s="155">
        <f t="shared" si="0"/>
        <v>-588465</v>
      </c>
      <c r="H32" s="186">
        <f t="shared" si="1"/>
        <v>-0.1273577187912828</v>
      </c>
      <c r="K32" s="149"/>
      <c r="L32" s="149"/>
    </row>
    <row r="33" spans="2:12" s="114" customFormat="1" ht="21" customHeight="1">
      <c r="B33" s="115" t="s">
        <v>79</v>
      </c>
      <c r="C33" s="112"/>
      <c r="D33" s="193">
        <f>+VLOOKUP(B33,[4]Flujo!$B$5:$D$72,3,0)</f>
        <v>-65061543</v>
      </c>
      <c r="E33" s="193">
        <f>+VLOOKUP(B33,[4]Flujo!$B$5:$E$72,4,0)</f>
        <v>-35838645</v>
      </c>
      <c r="F33" s="113"/>
      <c r="G33" s="155">
        <f t="shared" si="0"/>
        <v>-29222898</v>
      </c>
      <c r="H33" s="186">
        <f t="shared" si="1"/>
        <v>0.81540186577924467</v>
      </c>
      <c r="K33" s="149"/>
      <c r="L33" s="149"/>
    </row>
    <row r="34" spans="2:12" s="114" customFormat="1" ht="21" customHeight="1">
      <c r="B34" s="115" t="s">
        <v>156</v>
      </c>
      <c r="C34" s="112"/>
      <c r="D34" s="193">
        <f>+VLOOKUP(B34,[4]Flujo!$B$5:$D$72,3,0)</f>
        <v>0</v>
      </c>
      <c r="E34" s="193">
        <f>+VLOOKUP(B34,[4]Flujo!$B$5:$E$72,4,0)</f>
        <v>0</v>
      </c>
      <c r="F34" s="113"/>
      <c r="G34" s="155">
        <f t="shared" si="0"/>
        <v>0</v>
      </c>
      <c r="H34" s="186">
        <f t="shared" si="1"/>
        <v>1</v>
      </c>
      <c r="K34" s="149"/>
      <c r="L34" s="149"/>
    </row>
    <row r="35" spans="2:12" s="114" customFormat="1" ht="21" customHeight="1">
      <c r="B35" s="115" t="s">
        <v>80</v>
      </c>
      <c r="C35" s="112"/>
      <c r="D35" s="193">
        <f>+VLOOKUP(B35,[4]Flujo!$B$5:$D$72,3,0)</f>
        <v>-1218488</v>
      </c>
      <c r="E35" s="193">
        <f>+VLOOKUP(B35,[4]Flujo!$B$5:$E$72,4,0)</f>
        <v>-1727987</v>
      </c>
      <c r="F35" s="113"/>
      <c r="G35" s="155">
        <f t="shared" si="0"/>
        <v>509499</v>
      </c>
      <c r="H35" s="186">
        <f t="shared" si="1"/>
        <v>-0.2948511765424161</v>
      </c>
      <c r="K35" s="149"/>
      <c r="L35" s="149"/>
    </row>
    <row r="36" spans="2:12" s="114" customFormat="1" ht="21" customHeight="1">
      <c r="B36" s="115" t="s">
        <v>145</v>
      </c>
      <c r="C36" s="112"/>
      <c r="D36" s="193">
        <f>+VLOOKUP(B36,[4]Flujo!$B$5:$D$72,3,0)</f>
        <v>0</v>
      </c>
      <c r="E36" s="193">
        <f>+VLOOKUP(B36,[4]Flujo!$B$5:$E$72,4,0)</f>
        <v>0</v>
      </c>
      <c r="F36" s="113"/>
      <c r="G36" s="155">
        <f t="shared" si="0"/>
        <v>0</v>
      </c>
      <c r="H36" s="186">
        <f t="shared" si="1"/>
        <v>1</v>
      </c>
      <c r="K36" s="149"/>
      <c r="L36" s="149"/>
    </row>
    <row r="37" spans="2:12" s="114" customFormat="1" ht="21" customHeight="1">
      <c r="B37" s="115" t="s">
        <v>81</v>
      </c>
      <c r="C37" s="112"/>
      <c r="D37" s="193">
        <f>+VLOOKUP(B37,[4]Flujo!$B$5:$D$72,3,0)</f>
        <v>0</v>
      </c>
      <c r="E37" s="193">
        <f>+VLOOKUP(B37,[4]Flujo!$B$5:$E$72,4,0)</f>
        <v>0</v>
      </c>
      <c r="F37" s="113"/>
      <c r="G37" s="155">
        <f t="shared" si="0"/>
        <v>0</v>
      </c>
      <c r="H37" s="186">
        <f t="shared" si="1"/>
        <v>1</v>
      </c>
      <c r="K37" s="149"/>
      <c r="L37" s="149"/>
    </row>
    <row r="38" spans="2:12" s="114" customFormat="1" ht="21" customHeight="1">
      <c r="B38" s="115" t="s">
        <v>295</v>
      </c>
      <c r="C38" s="112"/>
      <c r="D38" s="193">
        <f>+VLOOKUP(B38,[4]Flujo!$B$5:$D$72,3,0)</f>
        <v>0</v>
      </c>
      <c r="E38" s="193">
        <f>+VLOOKUP(B38,[4]Flujo!$B$5:$E$72,4,0)</f>
        <v>0</v>
      </c>
      <c r="F38" s="113"/>
      <c r="G38" s="155">
        <f t="shared" si="0"/>
        <v>0</v>
      </c>
      <c r="H38" s="186">
        <f t="shared" si="1"/>
        <v>1</v>
      </c>
      <c r="K38" s="149"/>
      <c r="L38" s="149"/>
    </row>
    <row r="39" spans="2:12" s="114" customFormat="1" ht="21" customHeight="1">
      <c r="B39" s="115" t="s">
        <v>83</v>
      </c>
      <c r="C39" s="112"/>
      <c r="D39" s="193">
        <f>+VLOOKUP(B39,[4]Flujo!$B$5:$D$72,3,0)</f>
        <v>0</v>
      </c>
      <c r="E39" s="193">
        <f>+VLOOKUP(B39,[4]Flujo!$B$5:$E$72,4,0)</f>
        <v>0</v>
      </c>
      <c r="F39" s="113"/>
      <c r="G39" s="155">
        <f t="shared" si="0"/>
        <v>0</v>
      </c>
      <c r="H39" s="186">
        <f t="shared" si="1"/>
        <v>1</v>
      </c>
      <c r="K39" s="149"/>
      <c r="L39" s="149"/>
    </row>
    <row r="40" spans="2:12" s="114" customFormat="1" ht="21" customHeight="1">
      <c r="B40" s="115" t="s">
        <v>84</v>
      </c>
      <c r="C40" s="112"/>
      <c r="D40" s="193">
        <f>+VLOOKUP(B40,[4]Flujo!$B$5:$D$72,3,0)</f>
        <v>0</v>
      </c>
      <c r="E40" s="193">
        <f>+VLOOKUP(B40,[4]Flujo!$B$5:$E$72,4,0)</f>
        <v>0</v>
      </c>
      <c r="F40" s="113"/>
      <c r="G40" s="155">
        <f t="shared" si="0"/>
        <v>0</v>
      </c>
      <c r="H40" s="186">
        <f t="shared" si="1"/>
        <v>1</v>
      </c>
      <c r="K40" s="149"/>
      <c r="L40" s="149"/>
    </row>
    <row r="41" spans="2:12" s="114" customFormat="1" ht="21" customHeight="1">
      <c r="B41" s="115" t="s">
        <v>85</v>
      </c>
      <c r="C41" s="112"/>
      <c r="D41" s="193">
        <f>+VLOOKUP(B41,[4]Flujo!$B$5:$D$72,3,0)</f>
        <v>0</v>
      </c>
      <c r="E41" s="193">
        <f>+VLOOKUP(B41,[4]Flujo!$B$5:$E$72,4,0)</f>
        <v>0</v>
      </c>
      <c r="F41" s="113"/>
      <c r="G41" s="155">
        <f t="shared" si="0"/>
        <v>0</v>
      </c>
      <c r="H41" s="186">
        <f t="shared" si="1"/>
        <v>1</v>
      </c>
      <c r="K41" s="149"/>
      <c r="L41" s="149"/>
    </row>
    <row r="42" spans="2:12" s="114" customFormat="1" ht="21" customHeight="1">
      <c r="B42" s="115" t="s">
        <v>86</v>
      </c>
      <c r="C42" s="112"/>
      <c r="D42" s="193">
        <f>+VLOOKUP(B42,[4]Flujo!$B$5:$D$72,3,0)</f>
        <v>0</v>
      </c>
      <c r="E42" s="193">
        <f>+VLOOKUP(B42,[4]Flujo!$B$5:$E$72,4,0)</f>
        <v>0</v>
      </c>
      <c r="F42" s="113"/>
      <c r="G42" s="155">
        <f t="shared" si="0"/>
        <v>0</v>
      </c>
      <c r="H42" s="186">
        <f t="shared" si="1"/>
        <v>1</v>
      </c>
      <c r="K42" s="149"/>
      <c r="L42" s="149"/>
    </row>
    <row r="43" spans="2:12" s="114" customFormat="1" ht="21" customHeight="1">
      <c r="B43" s="115" t="s">
        <v>146</v>
      </c>
      <c r="C43" s="112"/>
      <c r="D43" s="193">
        <f>+VLOOKUP(B43,[4]Flujo!$B$5:$D$72,3,0)</f>
        <v>0</v>
      </c>
      <c r="E43" s="193">
        <f>+VLOOKUP(B43,[4]Flujo!$B$5:$E$72,4,0)</f>
        <v>0</v>
      </c>
      <c r="F43" s="113"/>
      <c r="G43" s="155">
        <f t="shared" si="0"/>
        <v>0</v>
      </c>
      <c r="H43" s="186">
        <f t="shared" si="1"/>
        <v>1</v>
      </c>
      <c r="K43" s="149"/>
      <c r="L43" s="149"/>
    </row>
    <row r="44" spans="2:12" s="114" customFormat="1" ht="21" customHeight="1">
      <c r="B44" s="115" t="s">
        <v>68</v>
      </c>
      <c r="C44" s="112"/>
      <c r="D44" s="193">
        <f>+VLOOKUP(B44,[4]Flujo!$B$5:$D$72,3,0)</f>
        <v>0</v>
      </c>
      <c r="E44" s="193">
        <f>+VLOOKUP(B44,[4]Flujo!$B$5:$E$72,4,0)</f>
        <v>0</v>
      </c>
      <c r="F44" s="113"/>
      <c r="G44" s="155">
        <f t="shared" si="0"/>
        <v>0</v>
      </c>
      <c r="H44" s="186">
        <f t="shared" si="1"/>
        <v>1</v>
      </c>
      <c r="K44" s="149"/>
      <c r="L44" s="149"/>
    </row>
    <row r="45" spans="2:12" s="114" customFormat="1" ht="21" customHeight="1">
      <c r="B45" s="115" t="s">
        <v>70</v>
      </c>
      <c r="C45" s="112"/>
      <c r="D45" s="193">
        <f>+VLOOKUP(B45,[4]Flujo!$B$5:$D$72,3,0)</f>
        <v>0</v>
      </c>
      <c r="E45" s="193">
        <f>+VLOOKUP(B45,[4]Flujo!$B$5:$E$72,4,0)</f>
        <v>0</v>
      </c>
      <c r="F45" s="113"/>
      <c r="G45" s="155">
        <f t="shared" si="0"/>
        <v>0</v>
      </c>
      <c r="H45" s="186">
        <f t="shared" si="1"/>
        <v>1</v>
      </c>
      <c r="K45" s="149"/>
      <c r="L45" s="149"/>
    </row>
    <row r="46" spans="2:12" s="114" customFormat="1" ht="21" customHeight="1">
      <c r="B46" s="115" t="s">
        <v>296</v>
      </c>
      <c r="C46" s="112"/>
      <c r="D46" s="193">
        <f>+VLOOKUP(B46,[4]Flujo!$B$5:$D$72,3,0)</f>
        <v>0</v>
      </c>
      <c r="E46" s="193">
        <f>+VLOOKUP(B46,[4]Flujo!$B$5:$E$72,4,0)</f>
        <v>0</v>
      </c>
      <c r="F46" s="113"/>
      <c r="G46" s="155">
        <f t="shared" si="0"/>
        <v>0</v>
      </c>
      <c r="H46" s="186">
        <f t="shared" si="1"/>
        <v>1</v>
      </c>
      <c r="K46" s="149"/>
      <c r="L46" s="149"/>
    </row>
    <row r="47" spans="2:12" s="114" customFormat="1" ht="21" customHeight="1" thickBot="1">
      <c r="B47" s="115" t="s">
        <v>297</v>
      </c>
      <c r="C47" s="112"/>
      <c r="D47" s="193">
        <f>+VLOOKUP(B47,[4]Flujo!$B$5:$D$72,3,0)</f>
        <v>1</v>
      </c>
      <c r="E47" s="193">
        <f>+VLOOKUP(B47,[4]Flujo!$B$5:$E$72,4,0)</f>
        <v>16946</v>
      </c>
      <c r="F47" s="113"/>
      <c r="G47" s="155">
        <f t="shared" si="0"/>
        <v>-16945</v>
      </c>
      <c r="H47" s="186">
        <f t="shared" si="1"/>
        <v>-0.99994098902395845</v>
      </c>
      <c r="K47" s="149"/>
      <c r="L47" s="149"/>
    </row>
    <row r="48" spans="2:12" s="114" customFormat="1" ht="21" customHeight="1" thickBot="1">
      <c r="B48" s="116" t="s">
        <v>147</v>
      </c>
      <c r="C48" s="117"/>
      <c r="D48" s="196">
        <f>SUM(D24:D47)</f>
        <v>-62247927</v>
      </c>
      <c r="E48" s="196">
        <f>SUM(E24:E47)</f>
        <v>-32929118</v>
      </c>
      <c r="F48" s="113"/>
      <c r="G48" s="178">
        <f t="shared" si="0"/>
        <v>-29318809</v>
      </c>
      <c r="H48" s="189">
        <f t="shared" si="1"/>
        <v>0.89036119947093628</v>
      </c>
      <c r="I48" s="246">
        <f>+D48-E48</f>
        <v>-29318809</v>
      </c>
      <c r="J48" s="114">
        <v>39575081</v>
      </c>
      <c r="K48" s="149"/>
      <c r="L48" s="149"/>
    </row>
    <row r="49" spans="2:12" s="114" customFormat="1" ht="21" customHeight="1">
      <c r="B49" s="115" t="s">
        <v>89</v>
      </c>
      <c r="C49" s="112"/>
      <c r="D49" s="193">
        <f>+VLOOKUP(B49,[4]Flujo!$B$5:$D$72,3,0)</f>
        <v>0</v>
      </c>
      <c r="E49" s="193">
        <f>+VLOOKUP(B49,[4]Flujo!$B$5:$E$72,4,0)</f>
        <v>0</v>
      </c>
      <c r="F49" s="113"/>
      <c r="G49" s="155">
        <f t="shared" si="0"/>
        <v>0</v>
      </c>
      <c r="H49" s="186">
        <f t="shared" si="1"/>
        <v>1</v>
      </c>
      <c r="K49" s="149"/>
      <c r="L49" s="149"/>
    </row>
    <row r="50" spans="2:12" s="114" customFormat="1" ht="21" customHeight="1">
      <c r="B50" s="115" t="s">
        <v>90</v>
      </c>
      <c r="C50" s="112"/>
      <c r="D50" s="193">
        <f>+VLOOKUP(B50,[4]Flujo!$B$5:$D$72,3,0)</f>
        <v>0</v>
      </c>
      <c r="E50" s="193">
        <f>+VLOOKUP(B50,[4]Flujo!$B$5:$E$72,4,0)</f>
        <v>0</v>
      </c>
      <c r="F50" s="113"/>
      <c r="G50" s="155">
        <f t="shared" si="0"/>
        <v>0</v>
      </c>
      <c r="H50" s="186">
        <f t="shared" si="1"/>
        <v>1</v>
      </c>
      <c r="K50" s="149"/>
      <c r="L50" s="149"/>
    </row>
    <row r="51" spans="2:12" s="114" customFormat="1" ht="21" customHeight="1">
      <c r="B51" s="115" t="s">
        <v>91</v>
      </c>
      <c r="C51" s="112"/>
      <c r="D51" s="193">
        <f>+VLOOKUP(B51,[4]Flujo!$B$5:$D$72,3,0)</f>
        <v>0</v>
      </c>
      <c r="E51" s="193">
        <f>+VLOOKUP(B51,[4]Flujo!$B$5:$E$72,4,0)</f>
        <v>0</v>
      </c>
      <c r="F51" s="113"/>
      <c r="G51" s="155">
        <f t="shared" si="0"/>
        <v>0</v>
      </c>
      <c r="H51" s="186">
        <f t="shared" si="1"/>
        <v>1</v>
      </c>
      <c r="K51" s="149"/>
      <c r="L51" s="149"/>
    </row>
    <row r="52" spans="2:12" s="114" customFormat="1" ht="21" customHeight="1">
      <c r="B52" s="115" t="s">
        <v>92</v>
      </c>
      <c r="C52" s="112"/>
      <c r="D52" s="193">
        <f>+VLOOKUP(B52,[4]Flujo!$B$5:$D$72,3,0)</f>
        <v>0</v>
      </c>
      <c r="E52" s="193">
        <f>+VLOOKUP(B52,[4]Flujo!$B$5:$E$72,4,0)</f>
        <v>0</v>
      </c>
      <c r="F52" s="113"/>
      <c r="G52" s="155">
        <f t="shared" si="0"/>
        <v>0</v>
      </c>
      <c r="H52" s="186">
        <f t="shared" si="1"/>
        <v>1</v>
      </c>
      <c r="K52" s="149"/>
      <c r="L52" s="149"/>
    </row>
    <row r="53" spans="2:12" s="114" customFormat="1" ht="21" customHeight="1">
      <c r="B53" s="115" t="s">
        <v>93</v>
      </c>
      <c r="C53" s="112"/>
      <c r="D53" s="193">
        <f>+VLOOKUP(B53,[4]Flujo!$B$5:$D$72,3,0)</f>
        <v>2771336</v>
      </c>
      <c r="E53" s="193">
        <f>+VLOOKUP(B53,[4]Flujo!$B$5:$E$72,4,0)</f>
        <v>2362359</v>
      </c>
      <c r="F53" s="113"/>
      <c r="G53" s="155">
        <f t="shared" si="0"/>
        <v>408977</v>
      </c>
      <c r="H53" s="186">
        <f t="shared" si="1"/>
        <v>0.17312229004990351</v>
      </c>
      <c r="J53" s="114">
        <v>39602985</v>
      </c>
      <c r="K53" s="149" t="s">
        <v>244</v>
      </c>
      <c r="L53" s="149"/>
    </row>
    <row r="54" spans="2:12" s="114" customFormat="1" ht="21" customHeight="1">
      <c r="B54" s="115" t="s">
        <v>94</v>
      </c>
      <c r="C54" s="112"/>
      <c r="D54" s="193">
        <f>+VLOOKUP(B54,[4]Flujo!$B$5:$D$72,3,0)</f>
        <v>0</v>
      </c>
      <c r="E54" s="193">
        <f>+VLOOKUP(B54,[4]Flujo!$B$5:$E$72,4,0)</f>
        <v>0</v>
      </c>
      <c r="F54" s="113"/>
      <c r="G54" s="155">
        <f t="shared" si="0"/>
        <v>0</v>
      </c>
      <c r="H54" s="186">
        <f t="shared" si="1"/>
        <v>1</v>
      </c>
      <c r="J54" s="114">
        <f>+J48-J53</f>
        <v>-27904</v>
      </c>
      <c r="K54" s="149"/>
      <c r="L54" s="149"/>
    </row>
    <row r="55" spans="2:12" s="114" customFormat="1" ht="21" customHeight="1">
      <c r="B55" s="146" t="s">
        <v>229</v>
      </c>
      <c r="C55" s="112"/>
      <c r="D55" s="194">
        <f>+SUM(D49:D54)</f>
        <v>2771336</v>
      </c>
      <c r="E55" s="194">
        <f>+SUM(E49:E54)</f>
        <v>2362359</v>
      </c>
      <c r="F55" s="113"/>
      <c r="G55" s="156">
        <f t="shared" si="0"/>
        <v>408977</v>
      </c>
      <c r="H55" s="190">
        <f t="shared" si="1"/>
        <v>0.17312229004990351</v>
      </c>
      <c r="J55" s="244">
        <v>3182087735</v>
      </c>
      <c r="K55" s="245"/>
      <c r="L55" s="149"/>
    </row>
    <row r="56" spans="2:12" s="114" customFormat="1" ht="21" customHeight="1">
      <c r="B56" s="115" t="s">
        <v>95</v>
      </c>
      <c r="C56" s="112"/>
      <c r="D56" s="193">
        <f>+VLOOKUP(B56,[4]Flujo!$B$5:$D$72,3,0)</f>
        <v>0</v>
      </c>
      <c r="E56" s="193">
        <f>+VLOOKUP(B56,[4]Flujo!$B$5:$E$72,4,0)</f>
        <v>0</v>
      </c>
      <c r="F56" s="113"/>
      <c r="G56" s="155">
        <f t="shared" si="0"/>
        <v>0</v>
      </c>
      <c r="H56" s="186">
        <f t="shared" si="1"/>
        <v>1</v>
      </c>
      <c r="J56" s="244"/>
      <c r="K56" s="245"/>
      <c r="L56" s="149"/>
    </row>
    <row r="57" spans="2:12" s="114" customFormat="1" ht="21" customHeight="1">
      <c r="B57" s="115" t="s">
        <v>148</v>
      </c>
      <c r="C57" s="112"/>
      <c r="D57" s="193">
        <f>+VLOOKUP(B57,[4]Flujo!$B$5:$D$72,3,0)</f>
        <v>-16127161</v>
      </c>
      <c r="E57" s="193">
        <f>+VLOOKUP(B57,[4]Flujo!$B$5:$E$72,4,0)</f>
        <v>-20377161</v>
      </c>
      <c r="F57" s="113"/>
      <c r="G57" s="155">
        <f t="shared" si="0"/>
        <v>4250000</v>
      </c>
      <c r="H57" s="187">
        <f t="shared" si="1"/>
        <v>-0.20856683617506874</v>
      </c>
      <c r="J57" s="244">
        <v>5298882643</v>
      </c>
      <c r="K57" s="245" t="s">
        <v>245</v>
      </c>
      <c r="L57" s="149"/>
    </row>
    <row r="58" spans="2:12" s="114" customFormat="1" ht="21" customHeight="1">
      <c r="B58" s="115" t="s">
        <v>96</v>
      </c>
      <c r="C58" s="112"/>
      <c r="D58" s="193">
        <f>+VLOOKUP(B58,[4]Flujo!$B$5:$D$72,3,0)</f>
        <v>0</v>
      </c>
      <c r="E58" s="193">
        <f>+VLOOKUP(B58,[4]Flujo!$B$5:$E$72,4,0)</f>
        <v>0</v>
      </c>
      <c r="F58" s="113"/>
      <c r="G58" s="155">
        <f t="shared" si="0"/>
        <v>0</v>
      </c>
      <c r="H58" s="187">
        <f t="shared" si="1"/>
        <v>1</v>
      </c>
      <c r="K58" s="149"/>
      <c r="L58" s="149"/>
    </row>
    <row r="59" spans="2:12" s="114" customFormat="1" ht="21" customHeight="1">
      <c r="B59" s="115" t="s">
        <v>97</v>
      </c>
      <c r="C59" s="112"/>
      <c r="D59" s="193">
        <f>+VLOOKUP(B59,[4]Flujo!$B$5:$D$72,3,0)</f>
        <v>0</v>
      </c>
      <c r="E59" s="193">
        <f>+VLOOKUP(B59,[4]Flujo!$B$5:$E$72,4,0)</f>
        <v>0</v>
      </c>
      <c r="F59" s="113"/>
      <c r="G59" s="155">
        <f t="shared" si="0"/>
        <v>0</v>
      </c>
      <c r="H59" s="187">
        <f t="shared" si="1"/>
        <v>1</v>
      </c>
      <c r="K59" s="149"/>
      <c r="L59" s="149"/>
    </row>
    <row r="60" spans="2:12" s="114" customFormat="1" ht="21" customHeight="1">
      <c r="B60" s="115" t="s">
        <v>82</v>
      </c>
      <c r="C60" s="112"/>
      <c r="D60" s="193">
        <f>+VLOOKUP(B60,[4]Flujo!$B$5:$D$72,3,0)</f>
        <v>0</v>
      </c>
      <c r="E60" s="193">
        <f>+VLOOKUP(B60,[4]Flujo!$B$5:$E$72,4,0)</f>
        <v>0</v>
      </c>
      <c r="F60" s="113"/>
      <c r="G60" s="155">
        <f t="shared" si="0"/>
        <v>0</v>
      </c>
      <c r="H60" s="187">
        <f t="shared" si="1"/>
        <v>1</v>
      </c>
      <c r="K60" s="149"/>
      <c r="L60" s="149"/>
    </row>
    <row r="61" spans="2:12" s="114" customFormat="1" ht="21" customHeight="1">
      <c r="B61" s="152" t="s">
        <v>67</v>
      </c>
      <c r="C61" s="112"/>
      <c r="D61" s="193">
        <f>+VLOOKUP(B61,[4]Flujo!$B$5:$D$72,3,0)</f>
        <v>-1550895</v>
      </c>
      <c r="E61" s="193">
        <f>+VLOOKUP(B61,[4]Flujo!$B$5:$E$72,4,0)</f>
        <v>-1851798</v>
      </c>
      <c r="F61" s="113"/>
      <c r="G61" s="155">
        <f t="shared" si="0"/>
        <v>300903</v>
      </c>
      <c r="H61" s="187">
        <f t="shared" si="1"/>
        <v>-0.16249234527740067</v>
      </c>
      <c r="J61" s="114">
        <v>9827327500</v>
      </c>
      <c r="K61" s="245" t="s">
        <v>246</v>
      </c>
      <c r="L61" s="149"/>
    </row>
    <row r="62" spans="2:12" s="114" customFormat="1" ht="21" customHeight="1">
      <c r="B62" s="115" t="s">
        <v>69</v>
      </c>
      <c r="C62" s="112"/>
      <c r="D62" s="193">
        <f>+VLOOKUP(B62,[4]Flujo!$B$5:$D$72,3,0)</f>
        <v>0</v>
      </c>
      <c r="E62" s="193">
        <f>+VLOOKUP(B62,[4]Flujo!$B$5:$E$72,4,0)</f>
        <v>0</v>
      </c>
      <c r="F62" s="113"/>
      <c r="G62" s="155">
        <f t="shared" si="0"/>
        <v>0</v>
      </c>
      <c r="H62" s="186">
        <f t="shared" si="1"/>
        <v>1</v>
      </c>
      <c r="K62" s="149"/>
      <c r="L62" s="149"/>
    </row>
    <row r="63" spans="2:12" s="114" customFormat="1" ht="21" customHeight="1">
      <c r="B63" s="115" t="s">
        <v>87</v>
      </c>
      <c r="C63" s="112"/>
      <c r="D63" s="193">
        <f>+VLOOKUP(B63,[4]Flujo!$B$5:$D$72,3,0)</f>
        <v>0</v>
      </c>
      <c r="E63" s="193">
        <f>+VLOOKUP(B63,[4]Flujo!$B$5:$E$72,4,0)</f>
        <v>0</v>
      </c>
      <c r="F63" s="113"/>
      <c r="G63" s="155">
        <f t="shared" ref="G63:G71" si="2">ROUND(+(D63-E63),0)</f>
        <v>0</v>
      </c>
      <c r="H63" s="186">
        <f t="shared" si="1"/>
        <v>1</v>
      </c>
      <c r="K63" s="149"/>
      <c r="L63" s="149"/>
    </row>
    <row r="64" spans="2:12" s="114" customFormat="1" ht="21" customHeight="1" thickBot="1">
      <c r="B64" s="115" t="s">
        <v>88</v>
      </c>
      <c r="C64" s="112"/>
      <c r="D64" s="193">
        <f>+VLOOKUP(B64,[4]Flujo!$B$5:$D$72,3,0)</f>
        <v>0</v>
      </c>
      <c r="E64" s="193">
        <f>+VLOOKUP(B64,[4]Flujo!$B$5:$E$72,4,0)</f>
        <v>0</v>
      </c>
      <c r="F64" s="113"/>
      <c r="G64" s="155">
        <f t="shared" si="2"/>
        <v>0</v>
      </c>
      <c r="H64" s="186">
        <f t="shared" si="1"/>
        <v>1</v>
      </c>
      <c r="J64" s="244">
        <v>3887567500</v>
      </c>
      <c r="K64" s="245">
        <v>3634842500</v>
      </c>
    </row>
    <row r="65" spans="2:12" s="114" customFormat="1" ht="21" customHeight="1" thickBot="1">
      <c r="B65" s="116" t="s">
        <v>230</v>
      </c>
      <c r="C65" s="118"/>
      <c r="D65" s="196">
        <f>+SUM(D55:D64)</f>
        <v>-14906720</v>
      </c>
      <c r="E65" s="196">
        <f>+SUM(E55:E64)</f>
        <v>-19866600</v>
      </c>
      <c r="F65" s="113"/>
      <c r="G65" s="178">
        <f t="shared" si="2"/>
        <v>4959880</v>
      </c>
      <c r="H65" s="189">
        <f t="shared" ref="H65:H71" si="3">+IFERROR(G65/E65,1)</f>
        <v>-0.24965922704438606</v>
      </c>
      <c r="J65" s="244">
        <v>5939600000</v>
      </c>
      <c r="K65" s="245"/>
      <c r="L65" s="149"/>
    </row>
    <row r="66" spans="2:12" s="114" customFormat="1" ht="21" customHeight="1">
      <c r="B66" s="116" t="s">
        <v>231</v>
      </c>
      <c r="C66" s="118"/>
      <c r="D66" s="197">
        <f>+D65+D48+D23</f>
        <v>-15713314</v>
      </c>
      <c r="E66" s="197">
        <f>+E65+E48+E23</f>
        <v>13814745</v>
      </c>
      <c r="F66" s="113"/>
      <c r="G66" s="155">
        <f t="shared" si="2"/>
        <v>-29528059</v>
      </c>
      <c r="H66" s="186">
        <f t="shared" si="3"/>
        <v>-2.137430622135986</v>
      </c>
      <c r="K66" s="149"/>
      <c r="L66" s="149"/>
    </row>
    <row r="67" spans="2:12" s="114" customFormat="1" ht="21" customHeight="1">
      <c r="B67" s="119" t="s">
        <v>298</v>
      </c>
      <c r="C67" s="117"/>
      <c r="D67" s="198"/>
      <c r="E67" s="193"/>
      <c r="F67" s="113"/>
      <c r="G67" s="155">
        <f t="shared" si="2"/>
        <v>0</v>
      </c>
      <c r="H67" s="186">
        <f t="shared" si="3"/>
        <v>1</v>
      </c>
      <c r="K67" s="149"/>
      <c r="L67" s="149"/>
    </row>
    <row r="68" spans="2:12" s="114" customFormat="1" ht="21" customHeight="1" thickBot="1">
      <c r="B68" s="120" t="s">
        <v>98</v>
      </c>
      <c r="C68" s="117"/>
      <c r="D68" s="193">
        <f>+VLOOKUP(B68,[4]Flujo!$B$5:$D$72,3,0)</f>
        <v>0</v>
      </c>
      <c r="E68" s="193">
        <f>+VLOOKUP(B68,[4]Flujo!$B$5:$E$72,4,0)</f>
        <v>0</v>
      </c>
      <c r="F68" s="113"/>
      <c r="G68" s="155">
        <f t="shared" si="2"/>
        <v>0</v>
      </c>
      <c r="H68" s="186">
        <f t="shared" si="3"/>
        <v>1</v>
      </c>
      <c r="K68" s="149"/>
      <c r="L68" s="149"/>
    </row>
    <row r="69" spans="2:12" s="114" customFormat="1" ht="21" customHeight="1" thickBot="1">
      <c r="B69" s="116" t="s">
        <v>149</v>
      </c>
      <c r="C69" s="118"/>
      <c r="D69" s="193">
        <f>+VLOOKUP(B69,[4]Flujo!$B$5:$D$72,3,0)</f>
        <v>-15713314</v>
      </c>
      <c r="E69" s="193">
        <f>+VLOOKUP(B69,[4]Flujo!$B$5:$E$72,4,0)</f>
        <v>13814745</v>
      </c>
      <c r="F69" s="113"/>
      <c r="G69" s="178">
        <f t="shared" si="2"/>
        <v>-29528059</v>
      </c>
      <c r="H69" s="189">
        <f t="shared" si="3"/>
        <v>-2.137430622135986</v>
      </c>
      <c r="K69" s="149">
        <f>+J64+J65-K64</f>
        <v>6192325000</v>
      </c>
      <c r="L69" s="149"/>
    </row>
    <row r="70" spans="2:12" s="114" customFormat="1" ht="21" customHeight="1" thickBot="1">
      <c r="B70" s="115" t="s">
        <v>150</v>
      </c>
      <c r="C70" s="112"/>
      <c r="D70" s="193">
        <f>+VLOOKUP(B70,[4]Flujo!$B$5:$D$72,3,0)</f>
        <v>109156681</v>
      </c>
      <c r="E70" s="193">
        <f>+VLOOKUP(B70,[4]Flujo!$B$5:$E$72,4,0)</f>
        <v>179335341</v>
      </c>
      <c r="F70" s="121"/>
      <c r="G70" s="155">
        <f t="shared" si="2"/>
        <v>-70178660</v>
      </c>
      <c r="H70" s="186">
        <f t="shared" si="3"/>
        <v>-0.39132643687894181</v>
      </c>
      <c r="J70" s="114">
        <f>+J65+J64-J61</f>
        <v>-160000</v>
      </c>
      <c r="K70" s="149"/>
      <c r="L70" s="149"/>
    </row>
    <row r="71" spans="2:12" s="114" customFormat="1" ht="21" customHeight="1" thickBot="1">
      <c r="B71" s="122" t="s">
        <v>151</v>
      </c>
      <c r="C71" s="123">
        <v>7</v>
      </c>
      <c r="D71" s="193">
        <f>+VLOOKUP(B71,[4]Flujo!$B$5:$D$72,3,0)</f>
        <v>93443367</v>
      </c>
      <c r="E71" s="193">
        <f>+VLOOKUP(B71,[4]Flujo!$B$5:$E$72,4,0)</f>
        <v>193150086</v>
      </c>
      <c r="G71" s="178">
        <f t="shared" si="2"/>
        <v>-99706719</v>
      </c>
      <c r="H71" s="189">
        <f t="shared" si="3"/>
        <v>-0.51621369197837164</v>
      </c>
      <c r="K71" s="149"/>
      <c r="L71" s="149"/>
    </row>
    <row r="72" spans="2:12">
      <c r="D72" s="172"/>
      <c r="E72" s="172"/>
    </row>
    <row r="73" spans="2:12">
      <c r="D73" s="199">
        <f>+D71-Balance!D6</f>
        <v>0</v>
      </c>
      <c r="E73" s="199">
        <f>+E71-Balance!E6</f>
        <v>83993405</v>
      </c>
    </row>
  </sheetData>
  <autoFilter ref="B2:E71" xr:uid="{00000000-0009-0000-0000-00000C000000}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rgb="FF92D050"/>
  </sheetPr>
  <dimension ref="B2:I26"/>
  <sheetViews>
    <sheetView showGridLines="0" workbookViewId="0">
      <selection activeCell="G65" sqref="G65"/>
    </sheetView>
  </sheetViews>
  <sheetFormatPr baseColWidth="10" defaultColWidth="11.453125" defaultRowHeight="12"/>
  <cols>
    <col min="1" max="1" width="11.453125" style="138"/>
    <col min="2" max="2" width="45.54296875" style="138" bestFit="1" customWidth="1"/>
    <col min="3" max="3" width="14.453125" style="233" bestFit="1" customWidth="1"/>
    <col min="4" max="4" width="14.453125" style="138" bestFit="1" customWidth="1"/>
    <col min="5" max="5" width="13.453125" style="138" bestFit="1" customWidth="1"/>
    <col min="6" max="6" width="13.81640625" style="138" bestFit="1" customWidth="1"/>
    <col min="7" max="16384" width="11.453125" style="138"/>
  </cols>
  <sheetData>
    <row r="2" spans="2:9">
      <c r="B2" s="137" t="s">
        <v>26</v>
      </c>
      <c r="C2" s="230" t="s">
        <v>5</v>
      </c>
      <c r="F2" s="231"/>
      <c r="G2" s="232"/>
      <c r="H2" s="232"/>
      <c r="I2" s="231"/>
    </row>
    <row r="3" spans="2:9">
      <c r="B3" s="138" t="s">
        <v>288</v>
      </c>
      <c r="C3" s="233" t="e">
        <f>+#REF!</f>
        <v>#REF!</v>
      </c>
      <c r="F3" s="231"/>
      <c r="G3" s="231"/>
      <c r="H3" s="231"/>
      <c r="I3" s="231"/>
    </row>
    <row r="4" spans="2:9">
      <c r="B4" s="138" t="s">
        <v>258</v>
      </c>
      <c r="C4" s="233" t="e">
        <f>-#REF!</f>
        <v>#REF!</v>
      </c>
    </row>
    <row r="5" spans="2:9">
      <c r="B5" s="139" t="s">
        <v>287</v>
      </c>
      <c r="C5" s="234" t="e">
        <f>+#REF!</f>
        <v>#REF!</v>
      </c>
      <c r="G5" s="208"/>
      <c r="H5" s="208"/>
      <c r="I5" s="209"/>
    </row>
    <row r="6" spans="2:9">
      <c r="B6" s="137" t="s">
        <v>300</v>
      </c>
      <c r="C6" s="235" t="e">
        <f>SUM(C3:C5)</f>
        <v>#REF!</v>
      </c>
      <c r="G6" s="208"/>
      <c r="H6" s="208"/>
    </row>
    <row r="8" spans="2:9">
      <c r="B8" s="236" t="s">
        <v>27</v>
      </c>
    </row>
    <row r="9" spans="2:9">
      <c r="B9" s="137" t="s">
        <v>6</v>
      </c>
      <c r="C9" s="230" t="s">
        <v>5</v>
      </c>
    </row>
    <row r="10" spans="2:9">
      <c r="B10" s="138" t="str">
        <f>+B3</f>
        <v>Ejercicio 2022</v>
      </c>
      <c r="C10" s="233" t="e">
        <f>+#REF!-#REF!</f>
        <v>#REF!</v>
      </c>
    </row>
    <row r="11" spans="2:9">
      <c r="B11" s="138" t="str">
        <f>+B4</f>
        <v>Acum dic 2022</v>
      </c>
      <c r="C11" s="233" t="e">
        <f>-(#REF!-#REF!)</f>
        <v>#REF!</v>
      </c>
    </row>
    <row r="12" spans="2:9">
      <c r="B12" s="139" t="str">
        <f>+B5</f>
        <v>Acum dic 2023</v>
      </c>
      <c r="C12" s="234" t="e">
        <f>+#REF!-#REF!</f>
        <v>#REF!</v>
      </c>
    </row>
    <row r="13" spans="2:9">
      <c r="B13" s="137" t="str">
        <f>+B6</f>
        <v>Periodo dic 2023 - dic 2022</v>
      </c>
      <c r="C13" s="235" t="e">
        <f>SUM(C10:C12)</f>
        <v>#REF!</v>
      </c>
    </row>
    <row r="16" spans="2:9">
      <c r="B16" s="137" t="s">
        <v>7</v>
      </c>
      <c r="C16" s="230" t="s">
        <v>5</v>
      </c>
    </row>
    <row r="17" spans="2:5">
      <c r="B17" s="138" t="str">
        <f>+B3</f>
        <v>Ejercicio 2022</v>
      </c>
      <c r="C17" s="233" t="e">
        <f>-#REF!</f>
        <v>#REF!</v>
      </c>
    </row>
    <row r="18" spans="2:5">
      <c r="B18" s="138" t="str">
        <f>+B4</f>
        <v>Acum dic 2022</v>
      </c>
      <c r="C18" s="233" t="e">
        <f>+#REF!</f>
        <v>#REF!</v>
      </c>
    </row>
    <row r="19" spans="2:5">
      <c r="B19" s="139" t="str">
        <f>+B5</f>
        <v>Acum dic 2023</v>
      </c>
      <c r="C19" s="234" t="e">
        <f>-#REF!</f>
        <v>#REF!</v>
      </c>
    </row>
    <row r="20" spans="2:5">
      <c r="B20" s="137" t="str">
        <f>+B13</f>
        <v>Periodo dic 2023 - dic 2022</v>
      </c>
      <c r="C20" s="235" t="e">
        <f>SUM(C17:C19)</f>
        <v>#REF!</v>
      </c>
    </row>
    <row r="24" spans="2:5">
      <c r="C24" s="237"/>
      <c r="D24" s="238"/>
      <c r="E24" s="239"/>
    </row>
    <row r="25" spans="2:5">
      <c r="C25" s="240"/>
      <c r="D25" s="240"/>
      <c r="E25" s="240"/>
    </row>
    <row r="26" spans="2:5">
      <c r="C26" s="240"/>
      <c r="D26" s="240"/>
      <c r="E26" s="2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M52"/>
  <sheetViews>
    <sheetView showGridLines="0" workbookViewId="0">
      <selection activeCell="J14" sqref="J14"/>
    </sheetView>
  </sheetViews>
  <sheetFormatPr baseColWidth="10" defaultColWidth="11.453125" defaultRowHeight="15" customHeight="1"/>
  <cols>
    <col min="1" max="1" width="4" style="6" customWidth="1"/>
    <col min="2" max="2" width="44.81640625" style="6" bestFit="1" customWidth="1"/>
    <col min="3" max="4" width="12.54296875" style="6" customWidth="1"/>
    <col min="5" max="5" width="15.54296875" style="6" customWidth="1"/>
    <col min="6" max="6" width="13.453125" style="6" bestFit="1" customWidth="1"/>
    <col min="7" max="8" width="11.453125" style="6"/>
    <col min="9" max="9" width="11.453125" style="6" customWidth="1"/>
    <col min="10" max="10" width="14.1796875" style="6" customWidth="1"/>
    <col min="11" max="11" width="11.453125" style="6" customWidth="1"/>
    <col min="12" max="16384" width="11.453125" style="6"/>
  </cols>
  <sheetData>
    <row r="1" spans="1:10" ht="15" customHeight="1">
      <c r="A1" s="12" t="s">
        <v>128</v>
      </c>
    </row>
    <row r="3" spans="1:10" ht="15" customHeight="1" thickBot="1">
      <c r="B3" s="1" t="s">
        <v>161</v>
      </c>
      <c r="C3" s="201" t="s">
        <v>303</v>
      </c>
      <c r="D3" s="201" t="s">
        <v>304</v>
      </c>
      <c r="E3" s="142" t="s">
        <v>199</v>
      </c>
      <c r="F3" s="200" t="s">
        <v>306</v>
      </c>
    </row>
    <row r="4" spans="1:10" ht="15" customHeight="1">
      <c r="B4" s="2" t="s">
        <v>185</v>
      </c>
      <c r="C4" s="202">
        <v>189140192</v>
      </c>
      <c r="D4" s="202">
        <v>181469344</v>
      </c>
      <c r="E4" s="8">
        <v>4.2000000000000003E-2</v>
      </c>
      <c r="F4" s="7">
        <v>7670848</v>
      </c>
    </row>
    <row r="5" spans="1:10" s="13" customFormat="1" ht="15" customHeight="1">
      <c r="B5" s="3" t="s">
        <v>186</v>
      </c>
      <c r="C5" s="202">
        <v>-81986857</v>
      </c>
      <c r="D5" s="202">
        <v>-79265831</v>
      </c>
      <c r="E5" s="8">
        <v>3.4000000000000002E-2</v>
      </c>
      <c r="F5" s="7">
        <v>-2721026</v>
      </c>
    </row>
    <row r="6" spans="1:10" s="13" customFormat="1" ht="15" customHeight="1">
      <c r="B6" s="4" t="s">
        <v>112</v>
      </c>
      <c r="C6" s="203">
        <v>107153335</v>
      </c>
      <c r="D6" s="203">
        <v>102203513</v>
      </c>
      <c r="E6" s="10">
        <v>4.8000000000000001E-2</v>
      </c>
      <c r="F6" s="9">
        <v>4949822</v>
      </c>
      <c r="J6" s="14"/>
    </row>
    <row r="7" spans="1:10" s="13" customFormat="1" ht="15" customHeight="1">
      <c r="B7" s="3" t="s">
        <v>8</v>
      </c>
      <c r="C7" s="202">
        <v>-19972547</v>
      </c>
      <c r="D7" s="202">
        <v>-18825052</v>
      </c>
      <c r="E7" s="8">
        <v>6.0999999999999999E-2</v>
      </c>
      <c r="F7" s="7">
        <v>-1147495</v>
      </c>
      <c r="J7" s="14"/>
    </row>
    <row r="8" spans="1:10" s="13" customFormat="1" ht="15" customHeight="1">
      <c r="B8" s="4" t="s">
        <v>187</v>
      </c>
      <c r="C8" s="203">
        <v>87180788</v>
      </c>
      <c r="D8" s="203">
        <v>83378461</v>
      </c>
      <c r="E8" s="10">
        <v>4.5999999999999999E-2</v>
      </c>
      <c r="F8" s="9">
        <v>3802327</v>
      </c>
      <c r="J8" s="14"/>
    </row>
    <row r="9" spans="1:10" s="13" customFormat="1" ht="15" customHeight="1">
      <c r="B9" s="3" t="s">
        <v>188</v>
      </c>
      <c r="C9" s="202">
        <v>3150580</v>
      </c>
      <c r="D9" s="202">
        <v>-611396</v>
      </c>
      <c r="E9" s="8">
        <v>-6.1529999999999996</v>
      </c>
      <c r="F9" s="7">
        <v>3761976</v>
      </c>
      <c r="J9" s="14"/>
    </row>
    <row r="10" spans="1:10" s="13" customFormat="1" ht="15" customHeight="1">
      <c r="B10" s="3" t="s">
        <v>241</v>
      </c>
      <c r="C10" s="202">
        <v>0</v>
      </c>
      <c r="D10" s="202">
        <v>0</v>
      </c>
      <c r="E10" s="217">
        <v>0</v>
      </c>
      <c r="F10" s="7">
        <v>0</v>
      </c>
      <c r="J10" s="14"/>
    </row>
    <row r="11" spans="1:10" s="13" customFormat="1" ht="15" customHeight="1">
      <c r="B11" s="3" t="s">
        <v>189</v>
      </c>
      <c r="C11" s="202">
        <v>-17896793</v>
      </c>
      <c r="D11" s="202">
        <v>-19727858</v>
      </c>
      <c r="E11" s="8">
        <v>-9.2999999999999999E-2</v>
      </c>
      <c r="F11" s="7">
        <v>1831065</v>
      </c>
    </row>
    <row r="12" spans="1:10" s="13" customFormat="1" ht="15" customHeight="1">
      <c r="B12" s="3" t="s">
        <v>152</v>
      </c>
      <c r="C12" s="202">
        <v>-17524580</v>
      </c>
      <c r="D12" s="202">
        <v>-14126270</v>
      </c>
      <c r="E12" s="8">
        <v>0.24099999999999999</v>
      </c>
      <c r="F12" s="7">
        <v>-3398310</v>
      </c>
      <c r="J12" s="14"/>
    </row>
    <row r="13" spans="1:10" s="13" customFormat="1" ht="15" customHeight="1">
      <c r="B13" s="3" t="s">
        <v>302</v>
      </c>
      <c r="C13" s="202">
        <v>-927</v>
      </c>
      <c r="D13" s="202">
        <v>-819</v>
      </c>
      <c r="E13" s="8">
        <v>0.13200000000000001</v>
      </c>
      <c r="F13" s="7">
        <v>-108</v>
      </c>
      <c r="J13" s="14"/>
    </row>
    <row r="14" spans="1:10" s="13" customFormat="1" ht="15" customHeight="1">
      <c r="B14" s="4" t="s">
        <v>190</v>
      </c>
      <c r="C14" s="203">
        <v>54909068</v>
      </c>
      <c r="D14" s="203">
        <v>48912118</v>
      </c>
      <c r="E14" s="10">
        <v>0.123</v>
      </c>
      <c r="F14" s="9">
        <v>5996950</v>
      </c>
    </row>
    <row r="15" spans="1:10" s="13" customFormat="1" ht="15" customHeight="1">
      <c r="C15" s="284">
        <v>0</v>
      </c>
      <c r="D15" s="284">
        <v>0</v>
      </c>
    </row>
    <row r="16" spans="1:10" ht="15" customHeight="1">
      <c r="A16" s="12" t="s">
        <v>129</v>
      </c>
      <c r="C16" s="220">
        <v>0</v>
      </c>
      <c r="D16" s="220">
        <v>0</v>
      </c>
    </row>
    <row r="17" spans="2:13" s="274" customFormat="1" ht="15" customHeight="1">
      <c r="B17" s="15"/>
      <c r="C17" s="16"/>
      <c r="D17" s="16"/>
      <c r="E17" s="285"/>
      <c r="F17" s="286"/>
      <c r="G17" s="16"/>
      <c r="H17" s="13"/>
    </row>
    <row r="18" spans="2:13" s="274" customFormat="1" ht="15" customHeight="1" thickBot="1">
      <c r="B18" s="6"/>
      <c r="C18" s="310" t="s">
        <v>303</v>
      </c>
      <c r="D18" s="310"/>
      <c r="E18" s="6"/>
      <c r="F18" s="311" t="s">
        <v>304</v>
      </c>
      <c r="G18" s="311"/>
      <c r="H18" s="6"/>
      <c r="I18" s="312"/>
      <c r="J18" s="312"/>
    </row>
    <row r="19" spans="2:13" s="274" customFormat="1" ht="15" customHeight="1">
      <c r="B19" s="6"/>
      <c r="C19" s="287" t="s">
        <v>117</v>
      </c>
      <c r="D19" s="313" t="s">
        <v>118</v>
      </c>
      <c r="E19" s="6"/>
      <c r="F19" s="17" t="s">
        <v>117</v>
      </c>
      <c r="G19" s="315" t="s">
        <v>118</v>
      </c>
      <c r="H19" s="6"/>
      <c r="I19" s="312"/>
      <c r="J19" s="312"/>
    </row>
    <row r="20" spans="2:13" s="274" customFormat="1" ht="15" customHeight="1" thickBot="1">
      <c r="B20" s="6"/>
      <c r="C20" s="201" t="s">
        <v>215</v>
      </c>
      <c r="D20" s="314"/>
      <c r="E20" s="6"/>
      <c r="F20" s="5" t="s">
        <v>5</v>
      </c>
      <c r="G20" s="316"/>
      <c r="H20" s="6"/>
      <c r="I20" s="312"/>
      <c r="J20" s="312"/>
    </row>
    <row r="21" spans="2:13" s="274" customFormat="1" ht="15" customHeight="1">
      <c r="B21" s="3" t="s">
        <v>181</v>
      </c>
      <c r="C21" s="18">
        <v>83495368</v>
      </c>
      <c r="D21" s="288">
        <v>0.441</v>
      </c>
      <c r="E21" s="6"/>
      <c r="F21" s="18">
        <v>80829302</v>
      </c>
      <c r="G21" s="288">
        <v>0.44500000000000001</v>
      </c>
      <c r="H21" s="6"/>
      <c r="I21" s="275"/>
      <c r="J21" s="276"/>
      <c r="M21" s="279"/>
    </row>
    <row r="22" spans="2:13" s="274" customFormat="1" ht="15" customHeight="1">
      <c r="B22" s="3" t="s">
        <v>182</v>
      </c>
      <c r="C22" s="18">
        <v>80321146</v>
      </c>
      <c r="D22" s="288">
        <v>0.42499999999999999</v>
      </c>
      <c r="E22" s="6"/>
      <c r="F22" s="18">
        <v>77702576</v>
      </c>
      <c r="G22" s="288">
        <v>0.42799999999999999</v>
      </c>
      <c r="H22" s="6"/>
      <c r="I22" s="275"/>
      <c r="J22" s="276"/>
      <c r="M22" s="279"/>
    </row>
    <row r="23" spans="2:13" s="274" customFormat="1" ht="15" customHeight="1">
      <c r="B23" s="3" t="s">
        <v>183</v>
      </c>
      <c r="C23" s="18">
        <v>6581923</v>
      </c>
      <c r="D23" s="8">
        <v>3.5000000000000003E-2</v>
      </c>
      <c r="E23" s="6"/>
      <c r="F23" s="18">
        <v>5933490</v>
      </c>
      <c r="G23" s="288">
        <v>3.3000000000000002E-2</v>
      </c>
      <c r="H23" s="6"/>
      <c r="I23" s="275"/>
      <c r="J23" s="276"/>
      <c r="M23" s="279"/>
    </row>
    <row r="24" spans="2:13" s="274" customFormat="1" ht="15" customHeight="1" thickBot="1">
      <c r="B24" s="15" t="s">
        <v>184</v>
      </c>
      <c r="C24" s="289">
        <v>18741755</v>
      </c>
      <c r="D24" s="290">
        <v>9.9000000000000005E-2</v>
      </c>
      <c r="E24" s="6"/>
      <c r="F24" s="289">
        <v>17003976</v>
      </c>
      <c r="G24" s="290">
        <v>9.4E-2</v>
      </c>
      <c r="H24" s="6"/>
      <c r="I24" s="275"/>
      <c r="J24" s="276"/>
      <c r="M24" s="279"/>
    </row>
    <row r="25" spans="2:13" s="274" customFormat="1" ht="15" customHeight="1" thickTop="1">
      <c r="B25" s="4" t="s">
        <v>119</v>
      </c>
      <c r="C25" s="27">
        <v>189140192</v>
      </c>
      <c r="D25" s="291">
        <v>1</v>
      </c>
      <c r="E25" s="6"/>
      <c r="F25" s="27">
        <v>181469344</v>
      </c>
      <c r="G25" s="291">
        <v>1</v>
      </c>
      <c r="H25" s="6"/>
      <c r="I25" s="277"/>
      <c r="J25" s="278"/>
      <c r="L25" s="283"/>
      <c r="M25" s="279"/>
    </row>
    <row r="26" spans="2:13" s="274" customFormat="1" ht="15" customHeight="1">
      <c r="B26" s="13"/>
      <c r="C26" s="292">
        <v>0</v>
      </c>
      <c r="D26" s="292"/>
      <c r="E26" s="293"/>
      <c r="F26" s="292">
        <v>0</v>
      </c>
      <c r="G26" s="13"/>
      <c r="H26" s="13"/>
      <c r="I26" s="279"/>
    </row>
    <row r="27" spans="2:13" s="274" customFormat="1" ht="15" customHeight="1" thickBot="1">
      <c r="B27" s="297" t="s">
        <v>194</v>
      </c>
      <c r="C27" s="271" t="s">
        <v>303</v>
      </c>
      <c r="D27" s="271" t="s">
        <v>304</v>
      </c>
      <c r="E27" s="271" t="s">
        <v>102</v>
      </c>
      <c r="F27" s="272"/>
      <c r="G27" s="271" t="s">
        <v>120</v>
      </c>
      <c r="H27" s="274" t="s">
        <v>259</v>
      </c>
    </row>
    <row r="28" spans="2:13" s="274" customFormat="1" ht="15" customHeight="1">
      <c r="B28" s="298" t="s">
        <v>191</v>
      </c>
      <c r="C28" s="273">
        <v>147288</v>
      </c>
      <c r="D28" s="273">
        <v>145132</v>
      </c>
      <c r="E28" s="299">
        <v>1.4999999999999999E-2</v>
      </c>
      <c r="F28" s="272"/>
      <c r="G28" s="300">
        <v>2156</v>
      </c>
      <c r="I28" s="280"/>
    </row>
    <row r="29" spans="2:13" s="274" customFormat="1" ht="15" customHeight="1">
      <c r="B29" s="298" t="s">
        <v>192</v>
      </c>
      <c r="C29" s="273">
        <v>139696</v>
      </c>
      <c r="D29" s="273">
        <v>137244</v>
      </c>
      <c r="E29" s="299">
        <v>1.7999999999999999E-2</v>
      </c>
      <c r="F29" s="272"/>
      <c r="G29" s="300">
        <v>2452</v>
      </c>
      <c r="I29" s="280"/>
    </row>
    <row r="30" spans="2:13" s="274" customFormat="1" ht="15" customHeight="1">
      <c r="B30" s="298" t="s">
        <v>193</v>
      </c>
      <c r="C30" s="273">
        <v>118808</v>
      </c>
      <c r="D30" s="273">
        <v>116394</v>
      </c>
      <c r="E30" s="299">
        <v>2.1000000000000001E-2</v>
      </c>
      <c r="F30" s="272"/>
      <c r="G30" s="300">
        <v>2414</v>
      </c>
      <c r="I30" s="280"/>
    </row>
    <row r="31" spans="2:13" s="272" customFormat="1" ht="15" customHeight="1">
      <c r="B31" s="298" t="s">
        <v>153</v>
      </c>
      <c r="C31" s="273">
        <v>34844</v>
      </c>
      <c r="D31" s="273">
        <v>35122</v>
      </c>
      <c r="E31" s="299">
        <v>-8.0000000000000002E-3</v>
      </c>
      <c r="F31" s="301"/>
      <c r="G31" s="300">
        <v>-278</v>
      </c>
      <c r="I31" s="308"/>
    </row>
    <row r="32" spans="2:13" s="272" customFormat="1" ht="15" customHeight="1">
      <c r="C32" s="302"/>
      <c r="D32" s="302"/>
    </row>
    <row r="33" spans="2:11" s="272" customFormat="1" ht="15" customHeight="1" thickBot="1">
      <c r="B33" s="270" t="s">
        <v>121</v>
      </c>
      <c r="C33" s="271" t="s">
        <v>303</v>
      </c>
      <c r="D33" s="271" t="s">
        <v>304</v>
      </c>
      <c r="E33" s="271" t="s">
        <v>102</v>
      </c>
      <c r="G33" s="271" t="s">
        <v>120</v>
      </c>
      <c r="H33" s="272" t="s">
        <v>259</v>
      </c>
    </row>
    <row r="34" spans="2:11" s="272" customFormat="1" ht="15" customHeight="1">
      <c r="B34" s="298" t="s">
        <v>191</v>
      </c>
      <c r="C34" s="273">
        <v>2319510</v>
      </c>
      <c r="D34" s="273">
        <v>2271677</v>
      </c>
      <c r="E34" s="299">
        <v>2.1000000000000001E-2</v>
      </c>
      <c r="G34" s="300">
        <v>47833</v>
      </c>
    </row>
    <row r="35" spans="2:11" s="272" customFormat="1" ht="15" customHeight="1">
      <c r="B35" s="298" t="s">
        <v>192</v>
      </c>
      <c r="C35" s="273">
        <v>2274691</v>
      </c>
      <c r="D35" s="273">
        <v>2227037</v>
      </c>
      <c r="E35" s="299">
        <v>2.1000000000000001E-2</v>
      </c>
      <c r="G35" s="300">
        <v>47654</v>
      </c>
    </row>
    <row r="36" spans="2:11" s="272" customFormat="1" ht="15" customHeight="1"/>
    <row r="37" spans="2:11" s="272" customFormat="1" ht="15" customHeight="1">
      <c r="B37" s="303" t="s">
        <v>130</v>
      </c>
    </row>
    <row r="38" spans="2:11" s="272" customFormat="1" ht="15" customHeight="1">
      <c r="B38" s="303"/>
    </row>
    <row r="39" spans="2:11" s="272" customFormat="1" ht="13.5" thickBot="1">
      <c r="B39" s="270" t="s">
        <v>162</v>
      </c>
      <c r="C39" s="271" t="s">
        <v>303</v>
      </c>
      <c r="D39" s="271" t="s">
        <v>304</v>
      </c>
      <c r="E39" s="271" t="s">
        <v>102</v>
      </c>
    </row>
    <row r="40" spans="2:11" s="272" customFormat="1" ht="13">
      <c r="B40" s="304" t="s">
        <v>99</v>
      </c>
      <c r="C40" s="273">
        <v>5795345</v>
      </c>
      <c r="D40" s="273">
        <v>5491314</v>
      </c>
      <c r="E40" s="299">
        <v>5.4999999999999938E-2</v>
      </c>
      <c r="J40" s="281"/>
      <c r="K40" s="281"/>
    </row>
    <row r="41" spans="2:11" s="272" customFormat="1" ht="13">
      <c r="B41" s="304" t="s">
        <v>257</v>
      </c>
      <c r="C41" s="273">
        <v>2611376</v>
      </c>
      <c r="D41" s="273">
        <v>2037583</v>
      </c>
      <c r="E41" s="299">
        <v>0.28200000000000003</v>
      </c>
      <c r="J41" s="281"/>
      <c r="K41" s="281"/>
    </row>
    <row r="42" spans="2:11" s="272" customFormat="1" ht="13">
      <c r="B42" s="304" t="s">
        <v>208</v>
      </c>
      <c r="C42" s="273">
        <v>1807436</v>
      </c>
      <c r="D42" s="273">
        <v>1124094</v>
      </c>
      <c r="E42" s="299">
        <v>0.6080000000000001</v>
      </c>
      <c r="J42" s="281"/>
      <c r="K42" s="281"/>
    </row>
    <row r="43" spans="2:11" s="272" customFormat="1" ht="13">
      <c r="B43" s="304" t="s">
        <v>100</v>
      </c>
      <c r="C43" s="273">
        <v>971322</v>
      </c>
      <c r="D43" s="273">
        <v>711058</v>
      </c>
      <c r="E43" s="299">
        <v>0.3660000000000001</v>
      </c>
      <c r="J43" s="281"/>
      <c r="K43" s="281"/>
    </row>
    <row r="44" spans="2:11" s="272" customFormat="1" ht="13">
      <c r="B44" s="305" t="s">
        <v>19</v>
      </c>
      <c r="C44" s="306">
        <v>11185479</v>
      </c>
      <c r="D44" s="306">
        <v>9364049</v>
      </c>
      <c r="E44" s="299">
        <v>0.19500000000000006</v>
      </c>
      <c r="J44" s="277"/>
      <c r="K44" s="281"/>
    </row>
    <row r="45" spans="2:11" s="272" customFormat="1" ht="15" customHeight="1">
      <c r="C45" s="307"/>
      <c r="D45" s="307"/>
      <c r="J45" s="282"/>
    </row>
    <row r="46" spans="2:11" s="272" customFormat="1" ht="15" customHeight="1">
      <c r="C46" s="308"/>
      <c r="D46" s="308"/>
      <c r="G46" s="308"/>
    </row>
    <row r="47" spans="2:11" s="272" customFormat="1" ht="15" customHeight="1"/>
    <row r="50" spans="2:3" ht="15" customHeight="1">
      <c r="B50" s="3"/>
      <c r="C50" s="22"/>
    </row>
    <row r="51" spans="2:3" ht="15" customHeight="1">
      <c r="B51" s="3"/>
      <c r="C51" s="22"/>
    </row>
    <row r="52" spans="2:3" ht="15" customHeight="1">
      <c r="B52" s="3"/>
      <c r="C52" s="22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</sheetPr>
  <dimension ref="B1:M31"/>
  <sheetViews>
    <sheetView showGridLines="0" topLeftCell="A9" workbookViewId="0">
      <selection activeCell="H13" sqref="H13"/>
    </sheetView>
  </sheetViews>
  <sheetFormatPr baseColWidth="10" defaultColWidth="11.453125" defaultRowHeight="13"/>
  <cols>
    <col min="1" max="1" width="11.453125" style="6"/>
    <col min="2" max="2" width="25.453125" style="6" bestFit="1" customWidth="1"/>
    <col min="3" max="4" width="12" style="6" bestFit="1" customWidth="1"/>
    <col min="5" max="9" width="11.453125" style="6"/>
    <col min="10" max="10" width="68.453125" style="6" bestFit="1" customWidth="1"/>
    <col min="11" max="11" width="12.453125" style="6" bestFit="1" customWidth="1"/>
    <col min="12" max="16384" width="11.453125" style="6"/>
  </cols>
  <sheetData>
    <row r="1" spans="2:13">
      <c r="B1" s="11" t="s">
        <v>177</v>
      </c>
    </row>
    <row r="3" spans="2:13" ht="13.5" thickBot="1">
      <c r="B3" s="51" t="s">
        <v>161</v>
      </c>
      <c r="C3" s="5" t="str">
        <f>+Resultados!C3</f>
        <v>Mar.24</v>
      </c>
      <c r="D3" s="5" t="str">
        <f>+Resultados!D3</f>
        <v>Mar.23</v>
      </c>
      <c r="E3" s="5" t="s">
        <v>102</v>
      </c>
      <c r="G3" s="5" t="str">
        <f>+Resultados!F3</f>
        <v>2024 / 2023</v>
      </c>
    </row>
    <row r="4" spans="2:13">
      <c r="B4" s="24" t="s">
        <v>195</v>
      </c>
      <c r="C4" s="18">
        <f>+'[2]Segmentos Aguas Andinas'!$D$6</f>
        <v>177892928</v>
      </c>
      <c r="D4" s="18">
        <f>+'[2]Segmentos Aguas Andinas'!$F$6</f>
        <v>172060280</v>
      </c>
      <c r="E4" s="8">
        <f t="shared" ref="E4:E14" si="0">ROUND(+G4/D4,3)</f>
        <v>3.4000000000000002E-2</v>
      </c>
      <c r="G4" s="7">
        <f>+C4-D4</f>
        <v>5832648</v>
      </c>
      <c r="J4" s="25"/>
      <c r="K4" s="26"/>
      <c r="L4" s="26"/>
      <c r="M4" s="26"/>
    </row>
    <row r="5" spans="2:13">
      <c r="B5" s="24" t="s">
        <v>196</v>
      </c>
      <c r="C5" s="18">
        <f>+'[2]Segmentos Aguas Andinas'!$D$7</f>
        <v>330085</v>
      </c>
      <c r="D5" s="18">
        <f>+'[2]Segmentos Aguas Andinas'!$F$7</f>
        <v>957336</v>
      </c>
      <c r="E5" s="8">
        <f t="shared" si="0"/>
        <v>-0.65500000000000003</v>
      </c>
      <c r="F5" s="20"/>
      <c r="G5" s="7">
        <f t="shared" ref="G5:G14" si="1">+C5-D5</f>
        <v>-627251</v>
      </c>
      <c r="J5" s="25"/>
      <c r="K5" s="26"/>
      <c r="L5" s="26"/>
      <c r="M5" s="26"/>
    </row>
    <row r="6" spans="2:13">
      <c r="B6" s="24" t="s">
        <v>186</v>
      </c>
      <c r="C6" s="18">
        <f>+'[2]Segmentos Aguas Andinas'!$D$9+'[2]Segmentos Aguas Andinas'!$D$10+'[2]Segmentos Aguas Andinas'!$D$11+'[2]Segmentos Aguas Andinas'!$D$16</f>
        <v>-73786711</v>
      </c>
      <c r="D6" s="18">
        <f>+'[2]Segmentos Aguas Andinas'!$F$9+'[2]Segmentos Aguas Andinas'!$F$10+'[2]Segmentos Aguas Andinas'!$F$11+'[2]Segmentos Aguas Andinas'!$F$16</f>
        <v>-72667085</v>
      </c>
      <c r="E6" s="8">
        <f t="shared" si="0"/>
        <v>1.4999999999999999E-2</v>
      </c>
      <c r="G6" s="7">
        <f t="shared" si="1"/>
        <v>-1119626</v>
      </c>
      <c r="J6" s="25"/>
      <c r="K6" s="26"/>
      <c r="L6" s="26"/>
      <c r="M6" s="26"/>
    </row>
    <row r="7" spans="2:13" s="11" customFormat="1">
      <c r="B7" s="52" t="s">
        <v>112</v>
      </c>
      <c r="C7" s="203">
        <f>+SUM(C4:C6)</f>
        <v>104436302</v>
      </c>
      <c r="D7" s="203">
        <f>+SUM(D4:D6)</f>
        <v>100350531</v>
      </c>
      <c r="E7" s="10">
        <f t="shared" si="0"/>
        <v>4.1000000000000002E-2</v>
      </c>
      <c r="G7" s="9">
        <f t="shared" si="1"/>
        <v>4085771</v>
      </c>
      <c r="J7" s="28"/>
      <c r="K7" s="29"/>
      <c r="L7" s="29"/>
      <c r="M7" s="29"/>
    </row>
    <row r="8" spans="2:13">
      <c r="B8" s="24" t="s">
        <v>8</v>
      </c>
      <c r="C8" s="18">
        <f>+'[2]Segmentos Aguas Andinas'!$D$12</f>
        <v>-19395662</v>
      </c>
      <c r="D8" s="18">
        <f>+'[2]Segmentos Aguas Andinas'!$F$12</f>
        <v>-18296837</v>
      </c>
      <c r="E8" s="8">
        <f t="shared" si="0"/>
        <v>0.06</v>
      </c>
      <c r="G8" s="7">
        <f t="shared" si="1"/>
        <v>-1098825</v>
      </c>
      <c r="J8" s="25"/>
      <c r="K8" s="26"/>
      <c r="L8" s="26"/>
      <c r="M8" s="26"/>
    </row>
    <row r="9" spans="2:13" s="11" customFormat="1">
      <c r="B9" s="52" t="s">
        <v>187</v>
      </c>
      <c r="C9" s="203">
        <f>+C7+C8</f>
        <v>85040640</v>
      </c>
      <c r="D9" s="203">
        <f>+D7+D8</f>
        <v>82053694</v>
      </c>
      <c r="E9" s="10">
        <f t="shared" si="0"/>
        <v>3.5999999999999997E-2</v>
      </c>
      <c r="G9" s="9">
        <f t="shared" si="1"/>
        <v>2986946</v>
      </c>
      <c r="J9" s="28"/>
      <c r="K9" s="29"/>
      <c r="L9" s="29"/>
      <c r="M9" s="29"/>
    </row>
    <row r="10" spans="2:13">
      <c r="B10" s="24" t="s">
        <v>197</v>
      </c>
      <c r="C10" s="18">
        <f>+'[2]Segmentos Aguas Andinas'!$D$13</f>
        <v>2660031</v>
      </c>
      <c r="D10" s="18">
        <f>+'[2]Segmentos Aguas Andinas'!$F$13</f>
        <v>-574155</v>
      </c>
      <c r="E10" s="8" t="s">
        <v>233</v>
      </c>
      <c r="F10" s="20"/>
      <c r="G10" s="7">
        <f t="shared" si="1"/>
        <v>3234186</v>
      </c>
      <c r="J10" s="25"/>
      <c r="K10" s="26"/>
      <c r="L10" s="26"/>
      <c r="M10" s="26"/>
    </row>
    <row r="11" spans="2:13">
      <c r="B11" s="24" t="s">
        <v>189</v>
      </c>
      <c r="C11" s="18">
        <f>+'[2]Segmentos Aguas Andinas'!$D$14+'[2]Segmentos Aguas Andinas'!$D$15+'[2]Segmentos Aguas Andinas'!$D$17</f>
        <v>-17809123</v>
      </c>
      <c r="D11" s="18">
        <f>+'[2]Segmentos Aguas Andinas'!$F$14+'[2]Segmentos Aguas Andinas'!$F$15+'[2]Segmentos Aguas Andinas'!$F$17</f>
        <v>-19578790</v>
      </c>
      <c r="E11" s="8">
        <f t="shared" si="0"/>
        <v>-0.09</v>
      </c>
      <c r="G11" s="7">
        <f t="shared" si="1"/>
        <v>1769667</v>
      </c>
      <c r="J11" s="25"/>
      <c r="K11" s="26"/>
      <c r="L11" s="26"/>
      <c r="M11" s="26"/>
    </row>
    <row r="12" spans="2:13">
      <c r="B12" s="24" t="s">
        <v>152</v>
      </c>
      <c r="C12" s="18">
        <f>+'[2]Segmentos Aguas Andinas'!$D$19</f>
        <v>-16830167</v>
      </c>
      <c r="D12" s="18">
        <f>+'[2]Segmentos Aguas Andinas'!$F$19</f>
        <v>-13742205</v>
      </c>
      <c r="E12" s="8">
        <f t="shared" si="0"/>
        <v>0.22500000000000001</v>
      </c>
      <c r="G12" s="7">
        <f t="shared" si="1"/>
        <v>-3087962</v>
      </c>
      <c r="J12" s="25"/>
      <c r="K12" s="26"/>
      <c r="L12" s="26"/>
      <c r="M12" s="26"/>
    </row>
    <row r="13" spans="2:13">
      <c r="B13" s="24" t="s">
        <v>299</v>
      </c>
      <c r="C13" s="18">
        <f>-'[2]Segmentos Aguas Andinas'!$D$22</f>
        <v>-927</v>
      </c>
      <c r="D13" s="18">
        <f>-'[2]Segmentos Aguas Andinas'!$F$22</f>
        <v>-819</v>
      </c>
      <c r="E13" s="8">
        <f t="shared" si="0"/>
        <v>0.13200000000000001</v>
      </c>
      <c r="G13" s="7">
        <f t="shared" si="1"/>
        <v>-108</v>
      </c>
      <c r="J13" s="25"/>
      <c r="K13" s="26"/>
      <c r="L13" s="26"/>
      <c r="M13" s="26"/>
    </row>
    <row r="14" spans="2:13" s="11" customFormat="1">
      <c r="B14" s="52" t="s">
        <v>190</v>
      </c>
      <c r="C14" s="203">
        <f>SUM(C9:C13)</f>
        <v>53060454</v>
      </c>
      <c r="D14" s="203">
        <f>SUM(D9:D13)</f>
        <v>48157725</v>
      </c>
      <c r="E14" s="10">
        <f t="shared" si="0"/>
        <v>0.10199999999999999</v>
      </c>
      <c r="G14" s="9">
        <f t="shared" si="1"/>
        <v>4902729</v>
      </c>
      <c r="J14" s="28"/>
      <c r="K14" s="29"/>
      <c r="L14" s="29"/>
      <c r="M14" s="29"/>
    </row>
    <row r="15" spans="2:13">
      <c r="C15" s="153">
        <f>+C14-'[2]Segmentos Aguas Andinas'!$D$21</f>
        <v>0</v>
      </c>
      <c r="D15" s="153">
        <f>+D14-'[2]Segmentos Aguas Andinas'!$F$21</f>
        <v>0</v>
      </c>
      <c r="J15" s="25"/>
      <c r="M15" s="26"/>
    </row>
    <row r="16" spans="2:13">
      <c r="C16" s="26"/>
      <c r="D16" s="26"/>
      <c r="J16" s="25"/>
    </row>
    <row r="17" spans="2:10">
      <c r="B17" s="11" t="s">
        <v>178</v>
      </c>
      <c r="J17" s="25"/>
    </row>
    <row r="18" spans="2:10">
      <c r="J18" s="25"/>
    </row>
    <row r="19" spans="2:10" ht="13.5" thickBot="1">
      <c r="B19" s="51" t="s">
        <v>161</v>
      </c>
      <c r="C19" s="5" t="str">
        <f>+C3</f>
        <v>Mar.24</v>
      </c>
      <c r="D19" s="5" t="str">
        <f>+D3</f>
        <v>Mar.23</v>
      </c>
      <c r="E19" s="5" t="s">
        <v>102</v>
      </c>
      <c r="G19" s="5" t="str">
        <f>+G3</f>
        <v>2024 / 2023</v>
      </c>
    </row>
    <row r="20" spans="2:10">
      <c r="B20" s="24" t="s">
        <v>195</v>
      </c>
      <c r="C20" s="18">
        <f>+'[2]Segmentos Aguas Andinas'!$E$6</f>
        <v>11247264</v>
      </c>
      <c r="D20" s="18">
        <f>+'[2]Segmentos Aguas Andinas'!$G$6</f>
        <v>9409064</v>
      </c>
      <c r="E20" s="8">
        <f t="shared" ref="E20:E29" si="2">ROUND(+G20/D20,3)</f>
        <v>0.19500000000000001</v>
      </c>
      <c r="G20" s="7">
        <f>+C20-D20</f>
        <v>1838200</v>
      </c>
    </row>
    <row r="21" spans="2:10">
      <c r="B21" s="24" t="s">
        <v>196</v>
      </c>
      <c r="C21" s="18">
        <f>+'[2]Segmentos Aguas Andinas'!$E$7</f>
        <v>2153901</v>
      </c>
      <c r="D21" s="18">
        <f>+'[2]Segmentos Aguas Andinas'!$G$7</f>
        <v>2014628</v>
      </c>
      <c r="E21" s="8">
        <f t="shared" si="2"/>
        <v>6.9000000000000006E-2</v>
      </c>
      <c r="G21" s="7">
        <f t="shared" ref="G21:G29" si="3">+C21-D21</f>
        <v>139273</v>
      </c>
    </row>
    <row r="22" spans="2:10">
      <c r="B22" s="24" t="s">
        <v>186</v>
      </c>
      <c r="C22" s="18">
        <f>+'[2]Segmentos Aguas Andinas'!$E$9+'[2]Segmentos Aguas Andinas'!$E$10+'[2]Segmentos Aguas Andinas'!$E$11+'[2]Segmentos Aguas Andinas'!$E$16</f>
        <v>-10684132</v>
      </c>
      <c r="D22" s="18">
        <f>+'[2]Segmentos Aguas Andinas'!$G$9+'[2]Segmentos Aguas Andinas'!$G$10+'[2]Segmentos Aguas Andinas'!$G$11+'[2]Segmentos Aguas Andinas'!$G$16</f>
        <v>-9570708</v>
      </c>
      <c r="E22" s="8">
        <f t="shared" si="2"/>
        <v>0.11600000000000001</v>
      </c>
      <c r="G22" s="7">
        <f t="shared" si="3"/>
        <v>-1113424</v>
      </c>
    </row>
    <row r="23" spans="2:10">
      <c r="B23" s="52" t="s">
        <v>112</v>
      </c>
      <c r="C23" s="203">
        <f>+SUM(C20:C22)</f>
        <v>2717033</v>
      </c>
      <c r="D23" s="203">
        <f>+SUM(D20:D22)</f>
        <v>1852984</v>
      </c>
      <c r="E23" s="10">
        <f t="shared" si="2"/>
        <v>0.46600000000000003</v>
      </c>
      <c r="F23" s="11"/>
      <c r="G23" s="9">
        <f t="shared" si="3"/>
        <v>864049</v>
      </c>
    </row>
    <row r="24" spans="2:10">
      <c r="B24" s="24" t="s">
        <v>8</v>
      </c>
      <c r="C24" s="18">
        <f>+'[2]Segmentos Aguas Andinas'!$E$12</f>
        <v>-576885</v>
      </c>
      <c r="D24" s="18">
        <f>+'[2]Segmentos Aguas Andinas'!$G$12</f>
        <v>-528215</v>
      </c>
      <c r="E24" s="8">
        <f t="shared" si="2"/>
        <v>9.1999999999999998E-2</v>
      </c>
      <c r="G24" s="7">
        <f t="shared" si="3"/>
        <v>-48670</v>
      </c>
    </row>
    <row r="25" spans="2:10">
      <c r="B25" s="52" t="s">
        <v>187</v>
      </c>
      <c r="C25" s="203">
        <f>+C23+C24</f>
        <v>2140148</v>
      </c>
      <c r="D25" s="203">
        <f>+D23+D24</f>
        <v>1324769</v>
      </c>
      <c r="E25" s="10">
        <f t="shared" si="2"/>
        <v>0.61499999999999999</v>
      </c>
      <c r="F25" s="11"/>
      <c r="G25" s="9">
        <f t="shared" si="3"/>
        <v>815379</v>
      </c>
    </row>
    <row r="26" spans="2:10">
      <c r="B26" s="24" t="s">
        <v>197</v>
      </c>
      <c r="C26" s="18">
        <f>+'[2]Segmentos Aguas Andinas'!$E$13</f>
        <v>490549</v>
      </c>
      <c r="D26" s="18">
        <f>+'[2]Segmentos Aguas Andinas'!$G$13</f>
        <v>-37242</v>
      </c>
      <c r="E26" s="8">
        <f t="shared" si="2"/>
        <v>-14.172000000000001</v>
      </c>
      <c r="G26" s="7">
        <f t="shared" si="3"/>
        <v>527791</v>
      </c>
    </row>
    <row r="27" spans="2:10">
      <c r="B27" s="24" t="s">
        <v>189</v>
      </c>
      <c r="C27" s="18">
        <f>+'[2]Segmentos Aguas Andinas'!$E$14+'[2]Segmentos Aguas Andinas'!$E$15+'[2]Segmentos Aguas Andinas'!$E$17</f>
        <v>-87670</v>
      </c>
      <c r="D27" s="18">
        <f>+'[2]Segmentos Aguas Andinas'!$G$14+'[2]Segmentos Aguas Andinas'!$G$15+'[2]Segmentos Aguas Andinas'!$G$17</f>
        <v>-149069</v>
      </c>
      <c r="E27" s="8">
        <f t="shared" si="2"/>
        <v>-0.41199999999999998</v>
      </c>
      <c r="G27" s="7">
        <f t="shared" si="3"/>
        <v>61399</v>
      </c>
    </row>
    <row r="28" spans="2:10">
      <c r="B28" s="24" t="s">
        <v>152</v>
      </c>
      <c r="C28" s="18">
        <f>+'[2]Segmentos Aguas Andinas'!$E$19</f>
        <v>-694413</v>
      </c>
      <c r="D28" s="18">
        <f>+'[2]Segmentos Aguas Andinas'!$G$19</f>
        <v>-384065</v>
      </c>
      <c r="E28" s="8">
        <f t="shared" si="2"/>
        <v>0.80800000000000005</v>
      </c>
      <c r="G28" s="7">
        <f t="shared" si="3"/>
        <v>-310348</v>
      </c>
    </row>
    <row r="29" spans="2:10">
      <c r="B29" s="52" t="s">
        <v>190</v>
      </c>
      <c r="C29" s="203">
        <f>SUM(C25:C28)</f>
        <v>1848614</v>
      </c>
      <c r="D29" s="203">
        <f>SUM(D25:D28)</f>
        <v>754393</v>
      </c>
      <c r="E29" s="10">
        <f t="shared" si="2"/>
        <v>1.45</v>
      </c>
      <c r="F29" s="11"/>
      <c r="G29" s="9">
        <f t="shared" si="3"/>
        <v>1094221</v>
      </c>
    </row>
    <row r="30" spans="2:10">
      <c r="C30" s="153">
        <f>+C29-'[2]Segmentos Aguas Andinas'!$E$21</f>
        <v>0</v>
      </c>
      <c r="D30" s="153">
        <f>+D29-'[2]Segmentos Aguas Andinas'!$G$21</f>
        <v>0</v>
      </c>
    </row>
    <row r="31" spans="2:10">
      <c r="C31" s="2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53125" defaultRowHeight="15" customHeight="1"/>
  <cols>
    <col min="1" max="1" width="4" style="31" customWidth="1"/>
    <col min="2" max="2" width="25.453125" style="31" bestFit="1" customWidth="1"/>
    <col min="3" max="16384" width="11.453125" style="31"/>
  </cols>
  <sheetData>
    <row r="1" spans="1:14" ht="15" customHeight="1">
      <c r="A1" s="30" t="s">
        <v>128</v>
      </c>
    </row>
    <row r="3" spans="1:14" ht="15" customHeight="1" thickBot="1">
      <c r="B3" s="19" t="s">
        <v>161</v>
      </c>
      <c r="C3" s="5" t="s">
        <v>242</v>
      </c>
      <c r="D3" s="5" t="s">
        <v>239</v>
      </c>
      <c r="E3" s="5" t="s">
        <v>102</v>
      </c>
      <c r="F3" s="6"/>
      <c r="G3" s="5" t="s">
        <v>240</v>
      </c>
    </row>
    <row r="4" spans="1:14" ht="15" customHeight="1">
      <c r="B4" s="3" t="s">
        <v>101</v>
      </c>
      <c r="C4" s="202">
        <v>129721186</v>
      </c>
      <c r="D4" s="202">
        <v>129721186</v>
      </c>
      <c r="E4" s="8">
        <f>+ROUND(G4/D4,3)</f>
        <v>0</v>
      </c>
      <c r="F4" s="6"/>
      <c r="G4" s="7">
        <f>+C4-D4</f>
        <v>0</v>
      </c>
    </row>
    <row r="5" spans="1:14" s="32" customFormat="1" ht="15" customHeight="1">
      <c r="B5" s="3" t="s">
        <v>111</v>
      </c>
      <c r="C5" s="202">
        <v>-77210262</v>
      </c>
      <c r="D5" s="202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2" customFormat="1" ht="15" customHeight="1">
      <c r="B6" s="4" t="s">
        <v>112</v>
      </c>
      <c r="C6" s="226">
        <f>SUM(C4:C5)</f>
        <v>52510924</v>
      </c>
      <c r="D6" s="226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2" customFormat="1" ht="15" customHeight="1">
      <c r="B7" s="3" t="s">
        <v>113</v>
      </c>
      <c r="C7" s="202">
        <v>-17417464</v>
      </c>
      <c r="D7" s="202">
        <v>-17417464</v>
      </c>
      <c r="E7" s="8">
        <f t="shared" si="0"/>
        <v>0</v>
      </c>
      <c r="F7" s="6"/>
      <c r="G7" s="7">
        <f t="shared" si="1"/>
        <v>0</v>
      </c>
      <c r="L7" s="22"/>
      <c r="M7" s="22"/>
      <c r="N7" s="33"/>
    </row>
    <row r="8" spans="1:14" s="32" customFormat="1" ht="15" customHeight="1">
      <c r="B8" s="4" t="s">
        <v>114</v>
      </c>
      <c r="C8" s="226">
        <f>+C6+C7</f>
        <v>35093460</v>
      </c>
      <c r="D8" s="226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2" customFormat="1" ht="15" customHeight="1">
      <c r="B9" s="3" t="s">
        <v>205</v>
      </c>
      <c r="C9" s="202">
        <v>-2093189</v>
      </c>
      <c r="D9" s="202">
        <v>-2093189</v>
      </c>
      <c r="E9" s="8">
        <f t="shared" si="0"/>
        <v>0</v>
      </c>
      <c r="F9" s="53"/>
      <c r="G9" s="7">
        <f t="shared" si="1"/>
        <v>0</v>
      </c>
    </row>
    <row r="10" spans="1:14" s="32" customFormat="1" ht="15" customHeight="1">
      <c r="B10" s="3" t="s">
        <v>238</v>
      </c>
      <c r="C10" s="202">
        <v>-34520</v>
      </c>
      <c r="D10" s="202">
        <v>-34520</v>
      </c>
      <c r="E10" s="8" t="s">
        <v>236</v>
      </c>
      <c r="F10" s="53"/>
      <c r="G10" s="7">
        <f t="shared" si="1"/>
        <v>0</v>
      </c>
    </row>
    <row r="11" spans="1:14" s="32" customFormat="1" ht="15" customHeight="1">
      <c r="B11" s="3" t="s">
        <v>115</v>
      </c>
      <c r="C11" s="202">
        <v>-14939258</v>
      </c>
      <c r="D11" s="202">
        <v>-14939258</v>
      </c>
      <c r="E11" s="8">
        <f t="shared" si="0"/>
        <v>0</v>
      </c>
      <c r="F11" s="6"/>
      <c r="G11" s="7">
        <f t="shared" si="1"/>
        <v>0</v>
      </c>
    </row>
    <row r="12" spans="1:14" s="32" customFormat="1" ht="15" customHeight="1">
      <c r="B12" s="3" t="s">
        <v>152</v>
      </c>
      <c r="C12" s="202">
        <v>-2523215</v>
      </c>
      <c r="D12" s="202">
        <v>-2523215</v>
      </c>
      <c r="E12" s="8">
        <f t="shared" si="0"/>
        <v>0</v>
      </c>
      <c r="F12" s="6"/>
      <c r="G12" s="7">
        <f t="shared" si="1"/>
        <v>0</v>
      </c>
    </row>
    <row r="13" spans="1:14" s="32" customFormat="1" ht="15" customHeight="1">
      <c r="B13" s="3" t="s">
        <v>232</v>
      </c>
      <c r="C13" s="202">
        <v>7324842</v>
      </c>
      <c r="D13" s="202">
        <v>7324842</v>
      </c>
      <c r="E13" s="8">
        <f t="shared" si="0"/>
        <v>0</v>
      </c>
      <c r="F13" s="6"/>
      <c r="G13" s="7">
        <f t="shared" si="1"/>
        <v>0</v>
      </c>
    </row>
    <row r="14" spans="1:14" s="32" customFormat="1" ht="15" customHeight="1">
      <c r="B14" s="4" t="s">
        <v>116</v>
      </c>
      <c r="C14" s="203">
        <v>26175218</v>
      </c>
      <c r="D14" s="203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2" customFormat="1" ht="15" customHeight="1">
      <c r="C15" s="27"/>
    </row>
    <row r="16" spans="1:14" s="32" customFormat="1" ht="15" customHeight="1"/>
    <row r="17" s="32" customFormat="1" ht="15" customHeight="1"/>
    <row r="18" s="32" customFormat="1" ht="15" customHeight="1"/>
    <row r="19" s="32" customFormat="1" ht="15" customHeight="1"/>
    <row r="20" s="32" customFormat="1" ht="15" customHeight="1"/>
    <row r="21" s="32" customFormat="1" ht="15" customHeight="1"/>
    <row r="22" s="32" customFormat="1" ht="15" customHeight="1"/>
    <row r="23" s="32" customFormat="1" ht="15" customHeight="1"/>
    <row r="24" s="32" customFormat="1" ht="15" customHeight="1"/>
    <row r="25" s="32" customFormat="1" ht="15" customHeight="1"/>
    <row r="26" s="32" customFormat="1" ht="15" customHeight="1"/>
    <row r="27" s="32" customFormat="1" ht="15" customHeight="1"/>
    <row r="28" s="32" customFormat="1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5"/>
  <dimension ref="A1:N39"/>
  <sheetViews>
    <sheetView showGridLines="0" workbookViewId="0">
      <selection activeCell="C11" sqref="C11"/>
    </sheetView>
  </sheetViews>
  <sheetFormatPr baseColWidth="10" defaultColWidth="11.453125" defaultRowHeight="13"/>
  <cols>
    <col min="1" max="1" width="4" style="31" customWidth="1"/>
    <col min="2" max="2" width="25.453125" style="31" bestFit="1" customWidth="1"/>
    <col min="3" max="16384" width="11.453125" style="31"/>
  </cols>
  <sheetData>
    <row r="1" spans="1:14" ht="15" customHeight="1">
      <c r="A1" s="30" t="s">
        <v>128</v>
      </c>
    </row>
    <row r="3" spans="1:14" ht="13.5" thickBot="1">
      <c r="B3" s="1" t="s">
        <v>161</v>
      </c>
      <c r="C3" s="248" t="s">
        <v>255</v>
      </c>
      <c r="D3" s="248" t="s">
        <v>254</v>
      </c>
      <c r="E3" s="248" t="s">
        <v>102</v>
      </c>
      <c r="F3" s="6"/>
      <c r="G3" s="248" t="s">
        <v>256</v>
      </c>
    </row>
    <row r="4" spans="1:14" ht="15" customHeight="1">
      <c r="B4" s="3" t="s">
        <v>101</v>
      </c>
      <c r="C4" s="202" t="e">
        <f>+Resultado!#REF!</f>
        <v>#REF!</v>
      </c>
      <c r="D4" s="202" t="e">
        <f>+Resultado!#REF!</f>
        <v>#REF!</v>
      </c>
      <c r="E4" s="8" t="e">
        <f>+ROUND(G4/D4,3)</f>
        <v>#REF!</v>
      </c>
      <c r="F4" s="6"/>
      <c r="G4" s="7" t="e">
        <f>+C4-D4</f>
        <v>#REF!</v>
      </c>
    </row>
    <row r="5" spans="1:14" s="32" customFormat="1" ht="15" customHeight="1">
      <c r="B5" s="3" t="s">
        <v>111</v>
      </c>
      <c r="C5" s="202" t="e">
        <f>+Resultado!#REF!+Resultado!#REF!+Resultado!#REF!</f>
        <v>#REF!</v>
      </c>
      <c r="D5" s="202" t="e">
        <f>+Resultado!#REF!+Resultado!#REF!+Resultado!#REF!</f>
        <v>#REF!</v>
      </c>
      <c r="E5" s="8" t="e">
        <f t="shared" ref="E5:E14" si="0">+ROUND(G5/D5,3)</f>
        <v>#REF!</v>
      </c>
      <c r="F5" s="6"/>
      <c r="G5" s="7" t="e">
        <f t="shared" ref="G5:G14" si="1">+C5-D5</f>
        <v>#REF!</v>
      </c>
    </row>
    <row r="6" spans="1:14" s="32" customFormat="1" ht="15" customHeight="1">
      <c r="B6" s="4" t="s">
        <v>112</v>
      </c>
      <c r="C6" s="226" t="e">
        <f>SUM(C4:C5)</f>
        <v>#REF!</v>
      </c>
      <c r="D6" s="226" t="e">
        <f>SUM(D4:D5)</f>
        <v>#REF!</v>
      </c>
      <c r="E6" s="10" t="e">
        <f t="shared" si="0"/>
        <v>#REF!</v>
      </c>
      <c r="F6" s="11"/>
      <c r="G6" s="9" t="e">
        <f t="shared" si="1"/>
        <v>#REF!</v>
      </c>
    </row>
    <row r="7" spans="1:14" s="32" customFormat="1" ht="15" customHeight="1">
      <c r="B7" s="3" t="s">
        <v>113</v>
      </c>
      <c r="C7" s="202" t="e">
        <f>+Resultado!#REF!</f>
        <v>#REF!</v>
      </c>
      <c r="D7" s="202" t="e">
        <f>+Resultado!#REF!</f>
        <v>#REF!</v>
      </c>
      <c r="E7" s="8" t="e">
        <f t="shared" si="0"/>
        <v>#REF!</v>
      </c>
      <c r="F7" s="6"/>
      <c r="G7" s="7" t="e">
        <f t="shared" si="1"/>
        <v>#REF!</v>
      </c>
      <c r="L7" s="22"/>
      <c r="M7" s="22"/>
      <c r="N7" s="33"/>
    </row>
    <row r="8" spans="1:14" s="32" customFormat="1" ht="15" customHeight="1">
      <c r="B8" s="4" t="s">
        <v>114</v>
      </c>
      <c r="C8" s="226" t="e">
        <f>+C6+C7</f>
        <v>#REF!</v>
      </c>
      <c r="D8" s="226" t="e">
        <f>+D6+D7</f>
        <v>#REF!</v>
      </c>
      <c r="E8" s="10" t="e">
        <f t="shared" si="0"/>
        <v>#REF!</v>
      </c>
      <c r="F8" s="11"/>
      <c r="G8" s="9" t="e">
        <f t="shared" si="1"/>
        <v>#REF!</v>
      </c>
    </row>
    <row r="9" spans="1:14" s="32" customFormat="1" ht="15" customHeight="1">
      <c r="B9" s="3" t="s">
        <v>205</v>
      </c>
      <c r="C9" s="202" t="e">
        <f>+Resultado!#REF!</f>
        <v>#REF!</v>
      </c>
      <c r="D9" s="202" t="e">
        <f>+Resultado!#REF!</f>
        <v>#REF!</v>
      </c>
      <c r="E9" s="8" t="e">
        <f t="shared" si="0"/>
        <v>#REF!</v>
      </c>
      <c r="F9" s="53"/>
      <c r="G9" s="7" t="e">
        <f t="shared" si="1"/>
        <v>#REF!</v>
      </c>
    </row>
    <row r="10" spans="1:14" s="32" customFormat="1" ht="15" hidden="1" customHeight="1">
      <c r="B10" s="3" t="s">
        <v>238</v>
      </c>
      <c r="C10" s="202">
        <v>0</v>
      </c>
      <c r="D10" s="202">
        <v>0</v>
      </c>
      <c r="E10" s="8" t="e">
        <f t="shared" si="0"/>
        <v>#DIV/0!</v>
      </c>
      <c r="F10" s="53"/>
      <c r="G10" s="7">
        <f t="shared" si="1"/>
        <v>0</v>
      </c>
    </row>
    <row r="11" spans="1:14" s="32" customFormat="1" ht="15" customHeight="1">
      <c r="B11" s="3" t="s">
        <v>115</v>
      </c>
      <c r="C11" s="202" t="e">
        <f>+Resultado!#REF!+Resultado!#REF!+Resultado!#REF!+Resultado!#REF!</f>
        <v>#REF!</v>
      </c>
      <c r="D11" s="202" t="e">
        <f>+Resultado!#REF!+Resultado!#REF!+Resultado!#REF!+Resultado!#REF!</f>
        <v>#REF!</v>
      </c>
      <c r="E11" s="8" t="e">
        <f t="shared" si="0"/>
        <v>#REF!</v>
      </c>
      <c r="F11" s="6"/>
      <c r="G11" s="7" t="e">
        <f t="shared" si="1"/>
        <v>#REF!</v>
      </c>
    </row>
    <row r="12" spans="1:14" s="32" customFormat="1" ht="15" customHeight="1">
      <c r="B12" s="3" t="s">
        <v>152</v>
      </c>
      <c r="C12" s="202" t="e">
        <f>Resultado!#REF!</f>
        <v>#REF!</v>
      </c>
      <c r="D12" s="202" t="e">
        <f>Resultado!#REF!</f>
        <v>#REF!</v>
      </c>
      <c r="E12" s="8" t="e">
        <f t="shared" si="0"/>
        <v>#REF!</v>
      </c>
      <c r="F12" s="6"/>
      <c r="G12" s="7" t="e">
        <f t="shared" si="1"/>
        <v>#REF!</v>
      </c>
    </row>
    <row r="13" spans="1:14" s="32" customFormat="1" ht="15" customHeight="1">
      <c r="B13" s="3" t="s">
        <v>232</v>
      </c>
      <c r="C13" s="202">
        <v>0</v>
      </c>
      <c r="D13" s="202">
        <v>3088851</v>
      </c>
      <c r="E13" s="8">
        <f t="shared" si="0"/>
        <v>-1</v>
      </c>
      <c r="F13" s="6"/>
      <c r="G13" s="7">
        <f t="shared" si="1"/>
        <v>-3088851</v>
      </c>
    </row>
    <row r="14" spans="1:14" s="32" customFormat="1" ht="15" customHeight="1">
      <c r="B14" s="4" t="s">
        <v>116</v>
      </c>
      <c r="C14" s="203" t="e">
        <f>+Resultado!#REF!</f>
        <v>#REF!</v>
      </c>
      <c r="D14" s="203" t="e">
        <f>+Resultado!#REF!</f>
        <v>#REF!</v>
      </c>
      <c r="E14" s="10" t="e">
        <f t="shared" si="0"/>
        <v>#REF!</v>
      </c>
      <c r="F14" s="11"/>
      <c r="G14" s="9" t="e">
        <f t="shared" si="1"/>
        <v>#REF!</v>
      </c>
    </row>
    <row r="15" spans="1:14" s="32" customFormat="1" ht="15" customHeight="1">
      <c r="C15" s="27"/>
    </row>
    <row r="16" spans="1:14" s="32" customFormat="1" ht="15" customHeight="1"/>
    <row r="17" s="32" customFormat="1" ht="15" customHeight="1"/>
    <row r="18" s="32" customFormat="1" ht="15" customHeight="1"/>
    <row r="19" s="32" customFormat="1" ht="15" customHeight="1"/>
    <row r="20" s="32" customFormat="1" ht="15" customHeight="1"/>
    <row r="21" s="32" customFormat="1" ht="15" customHeight="1"/>
    <row r="22" s="32" customFormat="1" ht="15" customHeight="1"/>
    <row r="23" s="32" customFormat="1" ht="15" customHeight="1"/>
    <row r="24" s="32" customFormat="1" ht="15" customHeight="1"/>
    <row r="25" s="32" customFormat="1" ht="15" customHeight="1"/>
    <row r="26" s="32" customFormat="1" ht="15" customHeight="1"/>
    <row r="27" s="32" customFormat="1" ht="15" customHeight="1"/>
    <row r="28" s="32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92D050"/>
    <pageSetUpPr fitToPage="1"/>
  </sheetPr>
  <dimension ref="B2:L32"/>
  <sheetViews>
    <sheetView showGridLines="0" topLeftCell="A17" workbookViewId="0">
      <selection activeCell="H33" sqref="H33"/>
    </sheetView>
  </sheetViews>
  <sheetFormatPr baseColWidth="10" defaultColWidth="11.453125" defaultRowHeight="15" customHeight="1"/>
  <cols>
    <col min="1" max="1" width="3.81640625" style="6" customWidth="1"/>
    <col min="2" max="2" width="49.453125" style="6" customWidth="1"/>
    <col min="3" max="4" width="15.54296875" style="6" customWidth="1"/>
    <col min="5" max="5" width="10.54296875" style="6" customWidth="1"/>
    <col min="6" max="16384" width="11.453125" style="6"/>
  </cols>
  <sheetData>
    <row r="2" spans="2:12" ht="15" customHeight="1">
      <c r="B2" s="13"/>
      <c r="C2" s="13"/>
      <c r="D2" s="13"/>
      <c r="E2" s="13"/>
    </row>
    <row r="3" spans="2:12" ht="15" customHeight="1" thickBot="1">
      <c r="B3" s="17" t="s">
        <v>103</v>
      </c>
      <c r="C3" s="5" t="s">
        <v>303</v>
      </c>
      <c r="D3" s="5" t="s">
        <v>305</v>
      </c>
      <c r="E3" s="17" t="s">
        <v>102</v>
      </c>
      <c r="I3" s="268"/>
      <c r="J3" s="268"/>
    </row>
    <row r="4" spans="2:12" ht="12.75" customHeight="1">
      <c r="B4" s="3" t="s">
        <v>2</v>
      </c>
      <c r="C4" s="218">
        <v>270935934</v>
      </c>
      <c r="D4" s="218">
        <v>275004410</v>
      </c>
      <c r="E4" s="266">
        <v>-1.4999999999999999E-2</v>
      </c>
      <c r="G4" s="23">
        <v>-4068476</v>
      </c>
      <c r="I4" s="268"/>
      <c r="J4" s="268"/>
    </row>
    <row r="5" spans="2:12" ht="12.75" customHeight="1">
      <c r="B5" s="3" t="s">
        <v>3</v>
      </c>
      <c r="C5" s="218">
        <v>2156778550</v>
      </c>
      <c r="D5" s="218">
        <v>2148343319</v>
      </c>
      <c r="E5" s="266">
        <v>4.0000000000000001E-3</v>
      </c>
      <c r="G5" s="23">
        <v>8435231</v>
      </c>
      <c r="I5" s="268"/>
      <c r="J5" s="268"/>
      <c r="K5" s="268"/>
      <c r="L5" s="220"/>
    </row>
    <row r="6" spans="2:12" ht="12.75" customHeight="1">
      <c r="B6" s="4" t="s">
        <v>17</v>
      </c>
      <c r="C6" s="219">
        <v>2427714484</v>
      </c>
      <c r="D6" s="219">
        <v>2423347729</v>
      </c>
      <c r="E6" s="267">
        <v>2E-3</v>
      </c>
      <c r="G6" s="23">
        <v>4366755</v>
      </c>
    </row>
    <row r="7" spans="2:12" ht="12.75" customHeight="1">
      <c r="B7" s="17" t="s">
        <v>133</v>
      </c>
      <c r="C7" s="264"/>
      <c r="D7" s="264"/>
      <c r="E7" s="265"/>
      <c r="G7" s="23">
        <v>0</v>
      </c>
    </row>
    <row r="8" spans="2:12" ht="12.75" customHeight="1">
      <c r="B8" s="3" t="s">
        <v>0</v>
      </c>
      <c r="C8" s="218">
        <v>313345363</v>
      </c>
      <c r="D8" s="218">
        <v>361668126</v>
      </c>
      <c r="E8" s="266">
        <v>-0.13400000000000001</v>
      </c>
      <c r="G8" s="23">
        <v>-48322763</v>
      </c>
    </row>
    <row r="9" spans="2:12" ht="12.75" customHeight="1">
      <c r="B9" s="3" t="s">
        <v>1</v>
      </c>
      <c r="C9" s="218">
        <v>1172104206</v>
      </c>
      <c r="D9" s="218">
        <v>1175540305</v>
      </c>
      <c r="E9" s="266">
        <v>-3.0000000000000001E-3</v>
      </c>
      <c r="G9" s="23">
        <v>-3436099</v>
      </c>
    </row>
    <row r="10" spans="2:12" ht="12.75" customHeight="1">
      <c r="B10" s="4" t="s">
        <v>18</v>
      </c>
      <c r="C10" s="219">
        <v>1485449569</v>
      </c>
      <c r="D10" s="219">
        <v>1537208431</v>
      </c>
      <c r="E10" s="267">
        <v>-3.4000000000000002E-2</v>
      </c>
      <c r="G10" s="23">
        <v>-51758862</v>
      </c>
    </row>
    <row r="11" spans="2:12" ht="12.75" customHeight="1">
      <c r="B11" s="13"/>
      <c r="C11" s="264"/>
      <c r="D11" s="264"/>
      <c r="E11" s="265"/>
      <c r="G11" s="23">
        <v>0</v>
      </c>
    </row>
    <row r="12" spans="2:12" ht="12.75" customHeight="1">
      <c r="B12" s="3" t="s">
        <v>22</v>
      </c>
      <c r="C12" s="218">
        <v>942232457</v>
      </c>
      <c r="D12" s="218">
        <v>886107830</v>
      </c>
      <c r="E12" s="266">
        <v>6.3E-2</v>
      </c>
      <c r="G12" s="23">
        <v>56124627</v>
      </c>
    </row>
    <row r="13" spans="2:12" ht="12.75" customHeight="1">
      <c r="B13" s="3" t="s">
        <v>23</v>
      </c>
      <c r="C13" s="218">
        <v>32458</v>
      </c>
      <c r="D13" s="218">
        <v>31468</v>
      </c>
      <c r="E13" s="266">
        <v>3.1E-2</v>
      </c>
      <c r="G13" s="23">
        <v>990</v>
      </c>
    </row>
    <row r="14" spans="2:12" ht="12.75" customHeight="1">
      <c r="B14" s="4" t="s">
        <v>131</v>
      </c>
      <c r="C14" s="219">
        <v>942264915</v>
      </c>
      <c r="D14" s="219">
        <v>886139298</v>
      </c>
      <c r="E14" s="267">
        <v>6.3E-2</v>
      </c>
      <c r="G14" s="23">
        <v>56125617</v>
      </c>
    </row>
    <row r="15" spans="2:12" ht="12.75" customHeight="1">
      <c r="B15" s="4" t="s">
        <v>104</v>
      </c>
      <c r="C15" s="219">
        <v>2427714484</v>
      </c>
      <c r="D15" s="219">
        <v>2423347729</v>
      </c>
      <c r="E15" s="267">
        <v>2E-3</v>
      </c>
      <c r="G15" s="23">
        <v>4366755</v>
      </c>
    </row>
    <row r="16" spans="2:12" ht="15" customHeight="1">
      <c r="B16" s="13"/>
      <c r="C16" s="13"/>
      <c r="D16" s="13"/>
      <c r="E16" s="13"/>
    </row>
    <row r="17" spans="2:5" ht="15" customHeight="1">
      <c r="C17" s="211"/>
      <c r="D17" s="211"/>
    </row>
    <row r="19" spans="2:5" ht="15" customHeight="1">
      <c r="B19" s="272"/>
      <c r="C19" s="272"/>
      <c r="D19" s="272"/>
    </row>
    <row r="20" spans="2:5" ht="15" customHeight="1" thickBot="1">
      <c r="B20" s="270" t="s">
        <v>163</v>
      </c>
      <c r="C20" s="271" t="s">
        <v>303</v>
      </c>
      <c r="D20" s="271"/>
      <c r="E20" s="6" t="s">
        <v>259</v>
      </c>
    </row>
    <row r="21" spans="2:5" ht="15" customHeight="1">
      <c r="B21" s="24" t="s">
        <v>308</v>
      </c>
      <c r="C21" s="18">
        <v>7907468</v>
      </c>
      <c r="D21" s="273"/>
      <c r="E21" s="251"/>
    </row>
    <row r="22" spans="2:5" ht="15" customHeight="1">
      <c r="B22" s="24" t="s">
        <v>309</v>
      </c>
      <c r="C22" s="18">
        <v>3907023</v>
      </c>
      <c r="D22" s="273"/>
      <c r="E22" s="251"/>
    </row>
    <row r="23" spans="2:5" ht="15" customHeight="1">
      <c r="B23" s="24" t="s">
        <v>310</v>
      </c>
      <c r="C23" s="18">
        <v>3310930</v>
      </c>
      <c r="D23" s="273"/>
      <c r="E23" s="251"/>
    </row>
    <row r="24" spans="2:5" ht="15" customHeight="1">
      <c r="B24" s="24" t="s">
        <v>311</v>
      </c>
      <c r="C24" s="18">
        <v>1703089</v>
      </c>
      <c r="D24" s="273"/>
      <c r="E24" s="251"/>
    </row>
    <row r="25" spans="2:5" ht="15" customHeight="1">
      <c r="B25" s="24" t="s">
        <v>312</v>
      </c>
      <c r="C25" s="18">
        <v>1530696</v>
      </c>
      <c r="D25" s="273"/>
      <c r="E25" s="251"/>
    </row>
    <row r="26" spans="2:5" ht="15" customHeight="1">
      <c r="B26" s="24" t="s">
        <v>313</v>
      </c>
      <c r="C26" s="18">
        <v>959001</v>
      </c>
      <c r="D26" s="273"/>
      <c r="E26" s="251"/>
    </row>
    <row r="27" spans="2:5" ht="15" customHeight="1">
      <c r="B27" s="24" t="s">
        <v>314</v>
      </c>
      <c r="C27" s="18">
        <v>587661</v>
      </c>
      <c r="D27" s="273"/>
      <c r="E27" s="251"/>
    </row>
    <row r="28" spans="2:5" ht="15" customHeight="1">
      <c r="B28" s="24" t="s">
        <v>315</v>
      </c>
      <c r="C28" s="18">
        <v>361618</v>
      </c>
      <c r="D28" s="273"/>
      <c r="E28" s="251"/>
    </row>
    <row r="29" spans="2:5" ht="15" customHeight="1">
      <c r="B29" s="24" t="s">
        <v>316</v>
      </c>
      <c r="C29" s="18">
        <v>278941</v>
      </c>
      <c r="D29" s="273"/>
      <c r="E29" s="251"/>
    </row>
    <row r="30" spans="2:5" ht="15" customHeight="1">
      <c r="B30" s="24" t="s">
        <v>317</v>
      </c>
      <c r="C30" s="18">
        <v>224865</v>
      </c>
      <c r="D30" s="317"/>
      <c r="E30" s="317"/>
    </row>
    <row r="31" spans="2:5" ht="15" customHeight="1">
      <c r="B31" s="24" t="s">
        <v>318</v>
      </c>
      <c r="C31" s="18">
        <v>6259583</v>
      </c>
    </row>
    <row r="32" spans="2:5" ht="15" customHeight="1">
      <c r="B32" s="309"/>
      <c r="C32"/>
    </row>
  </sheetData>
  <mergeCells count="1">
    <mergeCell ref="D30:E30"/>
  </mergeCells>
  <phoneticPr fontId="4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92D050"/>
  </sheetPr>
  <dimension ref="A1:K62"/>
  <sheetViews>
    <sheetView showGridLines="0" zoomScaleNormal="100" workbookViewId="0">
      <selection activeCell="L14" sqref="L14"/>
    </sheetView>
  </sheetViews>
  <sheetFormatPr baseColWidth="10" defaultColWidth="11.453125" defaultRowHeight="15" customHeight="1"/>
  <cols>
    <col min="1" max="1" width="26.1796875" style="6" bestFit="1" customWidth="1"/>
    <col min="2" max="2" width="24.54296875" style="6" bestFit="1" customWidth="1"/>
    <col min="3" max="3" width="9.453125" style="6" customWidth="1"/>
    <col min="4" max="7" width="10.7265625" style="6" customWidth="1"/>
    <col min="8" max="8" width="12.453125" style="6" customWidth="1"/>
    <col min="9" max="9" width="11.453125" style="6"/>
    <col min="10" max="10" width="14.54296875" style="6" customWidth="1"/>
    <col min="11" max="11" width="11.453125" style="6"/>
    <col min="12" max="12" width="30.1796875" style="6" bestFit="1" customWidth="1"/>
    <col min="13" max="16384" width="11.453125" style="6"/>
  </cols>
  <sheetData>
    <row r="1" spans="1:11" ht="15" customHeight="1">
      <c r="E1" s="34"/>
      <c r="F1" s="34"/>
      <c r="G1" s="34"/>
      <c r="H1" s="34"/>
    </row>
    <row r="2" spans="1:11" ht="18.75" customHeight="1" thickBot="1">
      <c r="B2" s="35" t="s">
        <v>180</v>
      </c>
      <c r="C2" s="36" t="s">
        <v>123</v>
      </c>
      <c r="D2" s="36" t="s">
        <v>124</v>
      </c>
      <c r="E2" s="36" t="s">
        <v>125</v>
      </c>
      <c r="F2" s="36" t="s">
        <v>134</v>
      </c>
      <c r="G2" s="36" t="s">
        <v>135</v>
      </c>
      <c r="H2" s="36" t="s">
        <v>136</v>
      </c>
      <c r="J2" s="241" t="s">
        <v>207</v>
      </c>
      <c r="K2" s="242" t="s">
        <v>206</v>
      </c>
    </row>
    <row r="3" spans="1:11" ht="15" customHeight="1">
      <c r="A3" s="261"/>
      <c r="B3" s="2" t="s">
        <v>126</v>
      </c>
      <c r="C3" s="37" t="s">
        <v>16</v>
      </c>
      <c r="D3" s="143">
        <v>178784478.998</v>
      </c>
      <c r="E3" s="144">
        <v>25501186.866999999</v>
      </c>
      <c r="F3" s="144">
        <v>39715850.07</v>
      </c>
      <c r="G3" s="144">
        <v>39660753.691</v>
      </c>
      <c r="H3" s="144">
        <v>73906688.370000005</v>
      </c>
      <c r="J3" s="204">
        <v>178784479</v>
      </c>
      <c r="K3" s="243">
        <v>-2.0000040531158447E-3</v>
      </c>
    </row>
    <row r="4" spans="1:11" ht="15" customHeight="1">
      <c r="A4" s="261"/>
      <c r="B4" s="3" t="s">
        <v>301</v>
      </c>
      <c r="C4" s="37" t="s">
        <v>16</v>
      </c>
      <c r="D4" s="143">
        <v>855926294</v>
      </c>
      <c r="E4" s="144">
        <v>23873646</v>
      </c>
      <c r="F4" s="144">
        <v>0</v>
      </c>
      <c r="G4" s="144">
        <v>0</v>
      </c>
      <c r="H4" s="144">
        <v>832052648</v>
      </c>
      <c r="J4" s="204">
        <v>855926294</v>
      </c>
      <c r="K4" s="243">
        <v>0</v>
      </c>
    </row>
    <row r="5" spans="1:11" ht="15" customHeight="1">
      <c r="A5" s="261"/>
      <c r="B5" s="3" t="s">
        <v>155</v>
      </c>
      <c r="C5" s="37" t="s">
        <v>16</v>
      </c>
      <c r="D5" s="143">
        <v>243638544</v>
      </c>
      <c r="E5" s="144">
        <v>107346207</v>
      </c>
      <c r="F5" s="144">
        <v>106408337</v>
      </c>
      <c r="G5" s="144">
        <v>29884000</v>
      </c>
      <c r="H5" s="144">
        <v>0</v>
      </c>
      <c r="J5" s="204">
        <v>243638544</v>
      </c>
      <c r="K5" s="243">
        <v>0</v>
      </c>
    </row>
    <row r="6" spans="1:11" ht="15" hidden="1" customHeight="1">
      <c r="A6" s="261"/>
      <c r="B6" s="3" t="s">
        <v>262</v>
      </c>
      <c r="C6" s="37" t="s">
        <v>261</v>
      </c>
      <c r="D6" s="143">
        <v>0</v>
      </c>
      <c r="E6" s="144">
        <v>0</v>
      </c>
      <c r="F6" s="144"/>
      <c r="G6" s="144"/>
      <c r="H6" s="144"/>
      <c r="J6" s="204">
        <v>0</v>
      </c>
      <c r="K6" s="243"/>
    </row>
    <row r="7" spans="1:11" ht="15" customHeight="1">
      <c r="B7" s="4" t="s">
        <v>234</v>
      </c>
      <c r="C7" s="37"/>
      <c r="D7" s="143">
        <v>1278349316.9980001</v>
      </c>
      <c r="E7" s="143">
        <v>156721039.86699998</v>
      </c>
      <c r="F7" s="143">
        <v>146124187.06999999</v>
      </c>
      <c r="G7" s="143">
        <v>69544753.691</v>
      </c>
      <c r="H7" s="143">
        <v>905959336.37</v>
      </c>
      <c r="J7" s="204"/>
      <c r="K7" s="243"/>
    </row>
    <row r="8" spans="1:11" ht="15" customHeight="1">
      <c r="A8" s="261"/>
      <c r="B8" s="222" t="s">
        <v>200</v>
      </c>
      <c r="C8" s="223" t="s">
        <v>16</v>
      </c>
      <c r="D8" s="224">
        <v>4018477</v>
      </c>
      <c r="E8" s="225">
        <v>1674228</v>
      </c>
      <c r="F8" s="225">
        <v>1404632</v>
      </c>
      <c r="G8" s="225">
        <v>800584</v>
      </c>
      <c r="H8" s="225">
        <v>139033</v>
      </c>
      <c r="J8" s="204">
        <v>4018477</v>
      </c>
      <c r="K8" s="243">
        <v>0</v>
      </c>
    </row>
    <row r="9" spans="1:11" ht="15" customHeight="1" thickBot="1">
      <c r="A9" s="261"/>
      <c r="B9" s="4" t="s">
        <v>235</v>
      </c>
      <c r="C9" s="38"/>
      <c r="D9" s="145">
        <v>4018477</v>
      </c>
      <c r="E9" s="145">
        <v>1674228</v>
      </c>
      <c r="F9" s="145">
        <v>1404632</v>
      </c>
      <c r="G9" s="145">
        <v>800584</v>
      </c>
      <c r="H9" s="145">
        <v>139033</v>
      </c>
      <c r="J9" s="204"/>
      <c r="K9" s="205"/>
    </row>
    <row r="10" spans="1:11" ht="15" customHeight="1">
      <c r="B10" s="39" t="s">
        <v>132</v>
      </c>
      <c r="C10" s="13"/>
      <c r="D10" s="143">
        <v>1282367793.9980001</v>
      </c>
      <c r="E10" s="143">
        <v>158395267.86699998</v>
      </c>
      <c r="F10" s="143">
        <v>147528819.06999999</v>
      </c>
      <c r="G10" s="143">
        <v>70345337.691</v>
      </c>
      <c r="H10" s="143">
        <v>906098369.37</v>
      </c>
      <c r="J10" s="21"/>
    </row>
    <row r="12" spans="1:11" ht="15" customHeight="1">
      <c r="B12" s="6" t="s">
        <v>164</v>
      </c>
      <c r="D12" s="21"/>
      <c r="E12" s="21"/>
      <c r="F12" s="6" t="s">
        <v>165</v>
      </c>
      <c r="G12" s="21"/>
      <c r="H12" s="21"/>
    </row>
    <row r="13" spans="1:11" ht="15" customHeight="1">
      <c r="B13" s="257" t="s">
        <v>126</v>
      </c>
      <c r="C13" s="259">
        <v>0.13941999999999999</v>
      </c>
      <c r="D13" s="258">
        <v>178784478.998</v>
      </c>
      <c r="E13" s="40"/>
      <c r="F13" s="257" t="s">
        <v>138</v>
      </c>
      <c r="G13" s="259">
        <v>0.91461999999999999</v>
      </c>
      <c r="H13" s="258">
        <v>1172878392</v>
      </c>
      <c r="I13" s="261"/>
    </row>
    <row r="14" spans="1:11" ht="15" customHeight="1">
      <c r="B14" s="40" t="s">
        <v>154</v>
      </c>
      <c r="C14" s="260">
        <v>0.66746000000000005</v>
      </c>
      <c r="D14" s="41">
        <v>855926294</v>
      </c>
      <c r="E14" s="40"/>
      <c r="F14" s="40" t="s">
        <v>137</v>
      </c>
      <c r="G14" s="260">
        <v>8.5379999999999998E-2</v>
      </c>
      <c r="H14" s="41">
        <v>109489402</v>
      </c>
      <c r="I14" s="261"/>
      <c r="J14" s="296"/>
    </row>
    <row r="15" spans="1:11" ht="15" customHeight="1">
      <c r="B15" s="40" t="s">
        <v>155</v>
      </c>
      <c r="C15" s="260">
        <v>0.18998999999999999</v>
      </c>
      <c r="D15" s="41">
        <v>243638544</v>
      </c>
      <c r="E15" s="40"/>
      <c r="F15" s="40"/>
      <c r="G15" s="263">
        <v>1</v>
      </c>
      <c r="H15" s="41">
        <v>1282367794</v>
      </c>
      <c r="J15" s="249"/>
    </row>
    <row r="16" spans="1:11" ht="15" customHeight="1">
      <c r="B16" s="40" t="s">
        <v>262</v>
      </c>
      <c r="C16" s="260">
        <v>0</v>
      </c>
      <c r="D16" s="41">
        <v>0</v>
      </c>
      <c r="E16" s="40"/>
      <c r="F16" s="40"/>
      <c r="G16" s="250"/>
      <c r="H16" s="262"/>
      <c r="J16" s="249"/>
    </row>
    <row r="17" spans="2:8" ht="13">
      <c r="B17" s="40" t="s">
        <v>200</v>
      </c>
      <c r="C17" s="260">
        <v>3.0999999999999999E-3</v>
      </c>
      <c r="D17" s="41">
        <v>4018477</v>
      </c>
      <c r="G17" s="42"/>
    </row>
    <row r="18" spans="2:8" ht="15" customHeight="1">
      <c r="C18" s="256">
        <v>0.99997000000000003</v>
      </c>
      <c r="D18" s="252"/>
      <c r="G18" s="43"/>
    </row>
    <row r="19" spans="2:8" ht="15" customHeight="1">
      <c r="C19" s="42"/>
      <c r="D19" s="21"/>
      <c r="E19" s="21"/>
      <c r="F19" s="21"/>
      <c r="G19" s="21"/>
      <c r="H19" s="21"/>
    </row>
    <row r="20" spans="2:8" ht="15" customHeight="1">
      <c r="C20" s="43"/>
      <c r="D20" s="21"/>
      <c r="E20" s="21"/>
      <c r="F20" s="21"/>
      <c r="G20" s="21"/>
      <c r="H20" s="21"/>
    </row>
    <row r="21" spans="2:8" ht="15" customHeight="1">
      <c r="D21" s="21"/>
    </row>
    <row r="22" spans="2:8" ht="15" customHeight="1">
      <c r="D22" s="21"/>
    </row>
    <row r="44" spans="1:4" ht="15" customHeight="1">
      <c r="A44" s="138" t="s">
        <v>222</v>
      </c>
      <c r="B44" s="208">
        <v>109489402</v>
      </c>
      <c r="C44" s="247">
        <v>8.5400000000000004E-2</v>
      </c>
      <c r="D44" s="211"/>
    </row>
    <row r="45" spans="1:4" ht="15" customHeight="1">
      <c r="A45" s="138" t="s">
        <v>223</v>
      </c>
      <c r="B45" s="208">
        <v>134149142</v>
      </c>
      <c r="C45" s="247">
        <v>0.1046</v>
      </c>
    </row>
    <row r="46" spans="1:4" ht="15" customHeight="1">
      <c r="A46" s="138" t="s">
        <v>154</v>
      </c>
      <c r="B46" s="208">
        <v>853594188</v>
      </c>
      <c r="C46" s="247">
        <v>0.66559999999999997</v>
      </c>
    </row>
    <row r="47" spans="1:4" ht="15" customHeight="1">
      <c r="A47" s="138" t="s">
        <v>220</v>
      </c>
      <c r="B47" s="208">
        <v>178784479</v>
      </c>
      <c r="C47" s="247">
        <v>0.1394</v>
      </c>
    </row>
    <row r="48" spans="1:4" ht="15" customHeight="1">
      <c r="A48" s="138" t="s">
        <v>260</v>
      </c>
      <c r="B48" s="208">
        <v>2332106</v>
      </c>
      <c r="C48" s="247">
        <v>1.8E-3</v>
      </c>
      <c r="D48" s="138"/>
    </row>
    <row r="49" spans="1:3" ht="15" customHeight="1">
      <c r="A49" s="138" t="s">
        <v>262</v>
      </c>
      <c r="B49" s="208">
        <v>0</v>
      </c>
      <c r="C49" s="247">
        <v>0</v>
      </c>
    </row>
    <row r="50" spans="1:3" ht="15" customHeight="1">
      <c r="A50" s="138" t="s">
        <v>218</v>
      </c>
      <c r="B50" s="208">
        <v>4018477</v>
      </c>
      <c r="C50" s="247">
        <v>3.1999999999999997E-3</v>
      </c>
    </row>
    <row r="51" spans="1:3" ht="15" customHeight="1">
      <c r="A51" s="137" t="s">
        <v>221</v>
      </c>
      <c r="B51" s="209">
        <v>1282367794</v>
      </c>
      <c r="C51" s="210">
        <v>0.99999999999999989</v>
      </c>
    </row>
    <row r="52" spans="1:3" ht="15" customHeight="1">
      <c r="A52" s="138"/>
    </row>
    <row r="53" spans="1:3" ht="15" customHeight="1">
      <c r="A53" s="206" t="s">
        <v>307</v>
      </c>
      <c r="B53" s="206"/>
      <c r="C53" s="206"/>
    </row>
    <row r="54" spans="1:3" ht="15" customHeight="1">
      <c r="A54" s="138" t="s">
        <v>138</v>
      </c>
      <c r="B54" s="138"/>
      <c r="C54" s="141">
        <v>0.91500000000000004</v>
      </c>
    </row>
    <row r="55" spans="1:3" ht="15" customHeight="1">
      <c r="A55" s="138" t="s">
        <v>137</v>
      </c>
      <c r="B55" s="138"/>
      <c r="C55" s="141">
        <v>8.5000000000000006E-2</v>
      </c>
    </row>
    <row r="56" spans="1:3" ht="15" customHeight="1">
      <c r="A56" s="207" t="s">
        <v>119</v>
      </c>
      <c r="B56" s="207"/>
      <c r="C56" s="255">
        <v>1</v>
      </c>
    </row>
    <row r="57" spans="1:3" ht="15" customHeight="1">
      <c r="A57" s="138" t="s">
        <v>216</v>
      </c>
      <c r="B57" s="138"/>
      <c r="C57" s="140">
        <v>0.72799999999999998</v>
      </c>
    </row>
    <row r="58" spans="1:3" ht="15" customHeight="1">
      <c r="A58" s="138" t="s">
        <v>217</v>
      </c>
      <c r="B58" s="138"/>
      <c r="C58" s="140">
        <v>0.152</v>
      </c>
    </row>
    <row r="59" spans="1:3" ht="15" customHeight="1">
      <c r="A59" s="138" t="s">
        <v>219</v>
      </c>
      <c r="B59" s="138"/>
      <c r="C59" s="140">
        <v>0.115</v>
      </c>
    </row>
    <row r="60" spans="1:3" ht="15" customHeight="1">
      <c r="A60" s="138" t="s">
        <v>260</v>
      </c>
      <c r="B60" s="138"/>
      <c r="C60" s="140">
        <v>2E-3</v>
      </c>
    </row>
    <row r="61" spans="1:3" ht="15" customHeight="1">
      <c r="A61" s="138" t="s">
        <v>218</v>
      </c>
      <c r="B61" s="138"/>
      <c r="C61" s="140">
        <v>3.0000000000000001E-3</v>
      </c>
    </row>
    <row r="62" spans="1:3" ht="15" customHeight="1">
      <c r="A62" s="207" t="s">
        <v>119</v>
      </c>
      <c r="B62" s="207"/>
      <c r="C62" s="255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92D050"/>
    <pageSetUpPr fitToPage="1"/>
  </sheetPr>
  <dimension ref="B3:G18"/>
  <sheetViews>
    <sheetView showGridLines="0" workbookViewId="0">
      <selection activeCell="G4" sqref="G4:G9"/>
    </sheetView>
  </sheetViews>
  <sheetFormatPr baseColWidth="10" defaultColWidth="11.453125" defaultRowHeight="15" customHeight="1"/>
  <cols>
    <col min="1" max="1" width="6" style="6" customWidth="1"/>
    <col min="2" max="2" width="33.453125" style="6" customWidth="1"/>
    <col min="3" max="4" width="12" style="6" bestFit="1" customWidth="1"/>
    <col min="5" max="6" width="11.453125" style="6"/>
    <col min="7" max="7" width="12" style="6" bestFit="1" customWidth="1"/>
    <col min="8" max="16384" width="11.453125" style="6"/>
  </cols>
  <sheetData>
    <row r="3" spans="2:7" ht="15" customHeight="1" thickBot="1">
      <c r="B3" s="19" t="s">
        <v>198</v>
      </c>
      <c r="C3" s="5" t="s">
        <v>303</v>
      </c>
      <c r="D3" s="5" t="s">
        <v>304</v>
      </c>
      <c r="E3" s="5" t="s">
        <v>102</v>
      </c>
    </row>
    <row r="4" spans="2:7" ht="15" customHeight="1">
      <c r="B4" s="3" t="s">
        <v>105</v>
      </c>
      <c r="C4" s="7">
        <v>61441333</v>
      </c>
      <c r="D4" s="7">
        <v>66610463</v>
      </c>
      <c r="E4" s="44">
        <v>-7.8E-2</v>
      </c>
      <c r="G4" s="221"/>
    </row>
    <row r="5" spans="2:7" ht="15" customHeight="1">
      <c r="B5" s="3" t="s">
        <v>106</v>
      </c>
      <c r="C5" s="7">
        <v>-62247927</v>
      </c>
      <c r="D5" s="7">
        <v>-32929118</v>
      </c>
      <c r="E5" s="44">
        <v>0.89</v>
      </c>
      <c r="G5" s="221"/>
    </row>
    <row r="6" spans="2:7" ht="15" customHeight="1">
      <c r="B6" s="3" t="s">
        <v>107</v>
      </c>
      <c r="C6" s="7">
        <v>-14906720</v>
      </c>
      <c r="D6" s="7">
        <v>-19866600</v>
      </c>
      <c r="E6" s="44">
        <v>-0.25</v>
      </c>
      <c r="G6" s="221"/>
    </row>
    <row r="7" spans="2:7" ht="15" customHeight="1">
      <c r="B7" s="4" t="s">
        <v>179</v>
      </c>
      <c r="C7" s="9">
        <v>-15713314</v>
      </c>
      <c r="D7" s="9">
        <v>13814745</v>
      </c>
      <c r="E7" s="227">
        <v>-2.137</v>
      </c>
      <c r="G7" s="221"/>
    </row>
    <row r="8" spans="2:7" ht="15" customHeight="1">
      <c r="B8" s="4" t="s">
        <v>108</v>
      </c>
      <c r="C8" s="9">
        <v>93443367</v>
      </c>
      <c r="D8" s="9">
        <v>193150086</v>
      </c>
      <c r="E8" s="227">
        <v>-0.51600000000000001</v>
      </c>
      <c r="G8" s="221"/>
    </row>
    <row r="9" spans="2:7" ht="15" customHeight="1">
      <c r="C9" s="26">
        <v>0</v>
      </c>
      <c r="D9" s="26">
        <v>83993405</v>
      </c>
    </row>
    <row r="11" spans="2:7" ht="15" customHeight="1">
      <c r="C11" s="16"/>
    </row>
    <row r="12" spans="2:7" ht="15" customHeight="1">
      <c r="C12" s="16"/>
      <c r="D12" s="26"/>
    </row>
    <row r="13" spans="2:7" ht="15" customHeight="1">
      <c r="C13" s="16"/>
    </row>
    <row r="14" spans="2:7" ht="15" customHeight="1">
      <c r="C14" s="16"/>
    </row>
    <row r="15" spans="2:7" ht="15" customHeight="1">
      <c r="C15" s="16"/>
    </row>
    <row r="16" spans="2:7" ht="15" customHeight="1">
      <c r="C16" s="16"/>
    </row>
    <row r="17" spans="3:3" ht="15" customHeight="1">
      <c r="C17" s="16"/>
    </row>
    <row r="18" spans="3:3" ht="15" customHeight="1">
      <c r="C18" s="21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92D050"/>
    <pageSetUpPr fitToPage="1"/>
  </sheetPr>
  <dimension ref="A3:H17"/>
  <sheetViews>
    <sheetView showGridLines="0" tabSelected="1" workbookViewId="0">
      <selection activeCell="H26" sqref="H26"/>
    </sheetView>
  </sheetViews>
  <sheetFormatPr baseColWidth="10" defaultColWidth="11.453125" defaultRowHeight="15" customHeight="1"/>
  <cols>
    <col min="1" max="1" width="8" style="15" bestFit="1" customWidth="1"/>
    <col min="2" max="2" width="35.453125" style="15" bestFit="1" customWidth="1"/>
    <col min="3" max="3" width="8.54296875" style="15" customWidth="1"/>
    <col min="4" max="5" width="13.54296875" style="15" customWidth="1"/>
    <col min="6" max="16384" width="11.453125" style="15"/>
  </cols>
  <sheetData>
    <row r="3" spans="1:8" ht="15" customHeight="1" thickBot="1">
      <c r="B3" s="45"/>
      <c r="C3" s="36"/>
      <c r="D3" s="36" t="s">
        <v>303</v>
      </c>
      <c r="E3" s="36" t="s">
        <v>305</v>
      </c>
    </row>
    <row r="4" spans="1:8" ht="15" customHeight="1">
      <c r="B4" s="4" t="s">
        <v>9</v>
      </c>
      <c r="C4" s="3"/>
    </row>
    <row r="5" spans="1:8" ht="15" customHeight="1">
      <c r="A5" s="46"/>
      <c r="B5" s="3" t="s">
        <v>122</v>
      </c>
      <c r="C5" s="37" t="s">
        <v>10</v>
      </c>
      <c r="D5" s="47">
        <v>0.86</v>
      </c>
      <c r="E5" s="47">
        <v>0.76</v>
      </c>
      <c r="F5" s="48"/>
    </row>
    <row r="6" spans="1:8" ht="15" customHeight="1">
      <c r="A6" s="46"/>
      <c r="B6" s="3" t="s">
        <v>109</v>
      </c>
      <c r="C6" s="37" t="s">
        <v>10</v>
      </c>
      <c r="D6" s="47">
        <v>0.3</v>
      </c>
      <c r="E6" s="47">
        <v>0.3</v>
      </c>
      <c r="F6" s="48"/>
    </row>
    <row r="7" spans="1:8" ht="15" customHeight="1">
      <c r="B7" s="4" t="s">
        <v>11</v>
      </c>
      <c r="C7" s="3"/>
      <c r="D7" s="49"/>
      <c r="E7" s="49"/>
      <c r="F7" s="48"/>
    </row>
    <row r="8" spans="1:8" ht="15" customHeight="1">
      <c r="B8" s="3" t="s">
        <v>110</v>
      </c>
      <c r="C8" s="37" t="s">
        <v>10</v>
      </c>
      <c r="D8" s="47">
        <v>1.58</v>
      </c>
      <c r="E8" s="47">
        <v>1.73</v>
      </c>
      <c r="F8" s="48"/>
    </row>
    <row r="9" spans="1:8" ht="15" customHeight="1">
      <c r="A9" s="46"/>
      <c r="B9" s="3" t="s">
        <v>12</v>
      </c>
      <c r="C9" s="37" t="s">
        <v>10</v>
      </c>
      <c r="D9" s="47">
        <v>0.2109</v>
      </c>
      <c r="E9" s="47">
        <v>0.23530000000000001</v>
      </c>
      <c r="F9" s="48"/>
    </row>
    <row r="10" spans="1:8" ht="15" customHeight="1">
      <c r="A10" s="46"/>
      <c r="B10" s="3" t="s">
        <v>13</v>
      </c>
      <c r="C10" s="37" t="s">
        <v>10</v>
      </c>
      <c r="D10" s="47">
        <v>0.78910000000000002</v>
      </c>
      <c r="E10" s="47">
        <v>0.76470000000000005</v>
      </c>
      <c r="F10" s="48"/>
    </row>
    <row r="11" spans="1:8" ht="15" customHeight="1">
      <c r="A11" s="46"/>
      <c r="B11" s="3" t="s">
        <v>139</v>
      </c>
      <c r="C11" s="37" t="s">
        <v>10</v>
      </c>
      <c r="D11" s="47">
        <v>4.63</v>
      </c>
      <c r="E11" s="47">
        <v>4.42</v>
      </c>
      <c r="F11" s="48"/>
    </row>
    <row r="12" spans="1:8" ht="15" customHeight="1">
      <c r="B12" s="4" t="s">
        <v>14</v>
      </c>
      <c r="C12" s="3"/>
      <c r="D12" s="49"/>
      <c r="E12" s="49"/>
      <c r="F12" s="48"/>
    </row>
    <row r="13" spans="1:8" ht="24">
      <c r="A13" s="46"/>
      <c r="B13" s="50" t="s">
        <v>140</v>
      </c>
      <c r="C13" s="37" t="s">
        <v>15</v>
      </c>
      <c r="D13" s="47">
        <v>15.21</v>
      </c>
      <c r="E13" s="47">
        <v>15.47</v>
      </c>
      <c r="F13" s="48"/>
    </row>
    <row r="14" spans="1:8" ht="15" customHeight="1">
      <c r="A14" s="46"/>
      <c r="B14" s="3" t="s">
        <v>141</v>
      </c>
      <c r="C14" s="37" t="s">
        <v>15</v>
      </c>
      <c r="D14" s="47">
        <v>5.75</v>
      </c>
      <c r="E14" s="47">
        <v>5.7299999999999995</v>
      </c>
      <c r="F14" s="294"/>
      <c r="G14" s="294"/>
      <c r="H14" s="295"/>
    </row>
    <row r="15" spans="1:8" ht="15" customHeight="1">
      <c r="A15" s="46"/>
      <c r="B15" s="3" t="s">
        <v>142</v>
      </c>
      <c r="C15" s="37" t="s">
        <v>16</v>
      </c>
      <c r="D15" s="47">
        <v>22.78</v>
      </c>
      <c r="E15" s="47">
        <v>21.8</v>
      </c>
      <c r="F15" s="48"/>
    </row>
    <row r="16" spans="1:8" ht="15" customHeight="1">
      <c r="B16" s="3" t="s">
        <v>127</v>
      </c>
      <c r="C16" s="37" t="s">
        <v>15</v>
      </c>
      <c r="D16" s="47">
        <v>5.16</v>
      </c>
      <c r="E16" s="47">
        <v>5.18</v>
      </c>
      <c r="F16" s="48"/>
    </row>
    <row r="17" spans="7:7" ht="15" customHeight="1">
      <c r="G17" s="48"/>
    </row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Resultados</vt:lpstr>
      <vt:lpstr>Resultados por Segmento</vt:lpstr>
      <vt:lpstr>Resultados Trim</vt:lpstr>
      <vt:lpstr>Resultados Trimestrales</vt:lpstr>
      <vt:lpstr>Estado de situación financiera</vt:lpstr>
      <vt:lpstr>Deuda Financiera</vt:lpstr>
      <vt:lpstr>Flujo de efectivo</vt:lpstr>
      <vt:lpstr>Indicadores</vt:lpstr>
      <vt:lpstr>Balance</vt:lpstr>
      <vt:lpstr>Resultado</vt:lpstr>
      <vt:lpstr>Flujo</vt:lpstr>
      <vt:lpstr>Anualizados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2024-05-23T17:00:42Z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