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ferruz\Documents\"/>
    </mc:Choice>
  </mc:AlternateContent>
  <bookViews>
    <workbookView xWindow="0" yWindow="0" windowWidth="20490" windowHeight="7530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estrales" sheetId="30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state="hidden" r:id="rId9"/>
    <sheet name="Balance" sheetId="11" state="hidden" r:id="rId10"/>
    <sheet name="Resultado" sheetId="12" state="hidden" r:id="rId11"/>
    <sheet name="Flujo" sheetId="13" state="hidden" r:id="rId12"/>
    <sheet name="Anualizados" sheetId="10" state="hidden" r:id="rId13"/>
    <sheet name="Valor acción" sheetId="28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1" hidden="1">Flujo!$B$2:$E$71</definedName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'[1]ER-Mod'!$B$3</definedName>
    <definedName name="empresa">'[1]ER-Mod'!$A$2</definedName>
    <definedName name="key">'[1]ER-Mod'!$B$2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3" l="1"/>
  <c r="D71" i="13"/>
  <c r="E70" i="13"/>
  <c r="D70" i="13"/>
  <c r="E69" i="13"/>
  <c r="D69" i="13"/>
  <c r="E68" i="13"/>
  <c r="D68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4" i="13"/>
  <c r="D14" i="13"/>
  <c r="E13" i="13"/>
  <c r="D13" i="13"/>
  <c r="E12" i="13"/>
  <c r="D12" i="13"/>
  <c r="E11" i="13"/>
  <c r="D11" i="13"/>
  <c r="E10" i="13"/>
  <c r="D10" i="13"/>
  <c r="E8" i="13"/>
  <c r="D8" i="13"/>
  <c r="E7" i="13"/>
  <c r="D7" i="13"/>
  <c r="E6" i="13"/>
  <c r="D6" i="13"/>
  <c r="E5" i="13"/>
  <c r="D5" i="13"/>
  <c r="E4" i="13"/>
  <c r="D4" i="13"/>
  <c r="G26" i="12"/>
  <c r="F26" i="12"/>
  <c r="E26" i="12"/>
  <c r="D26" i="12"/>
  <c r="G21" i="12"/>
  <c r="F21" i="12"/>
  <c r="E21" i="12"/>
  <c r="D21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D44" i="4" l="1"/>
  <c r="D46" i="4" s="1"/>
  <c r="C36" i="4" l="1"/>
  <c r="G62" i="11" l="1"/>
  <c r="G12" i="12"/>
  <c r="G18" i="12" s="1"/>
  <c r="G20" i="12" s="1"/>
  <c r="G23" i="12" s="1"/>
  <c r="G25" i="12" s="1"/>
  <c r="F12" i="12"/>
  <c r="F18" i="12" s="1"/>
  <c r="F20" i="12" s="1"/>
  <c r="F23" i="12" s="1"/>
  <c r="F25" i="12" s="1"/>
  <c r="F29" i="12" l="1"/>
  <c r="F30" i="12" s="1"/>
  <c r="F27" i="12"/>
  <c r="G29" i="12"/>
  <c r="G30" i="12" s="1"/>
  <c r="G27" i="12"/>
  <c r="F13" i="4" l="1"/>
  <c r="F12" i="4"/>
  <c r="F11" i="4"/>
  <c r="F10" i="4"/>
  <c r="F7" i="4"/>
  <c r="F6" i="4"/>
  <c r="E67" i="4"/>
  <c r="E66" i="4"/>
  <c r="E65" i="4"/>
  <c r="E62" i="4"/>
  <c r="E60" i="4"/>
  <c r="E59" i="4"/>
  <c r="E58" i="4"/>
  <c r="E57" i="4"/>
  <c r="E55" i="4"/>
  <c r="E54" i="4"/>
  <c r="E53" i="4"/>
  <c r="E52" i="4"/>
  <c r="E51" i="4"/>
  <c r="E50" i="4"/>
  <c r="F18" i="4" s="1"/>
  <c r="F32" i="4"/>
  <c r="F30" i="4"/>
  <c r="F29" i="4"/>
  <c r="F28" i="4"/>
  <c r="L49" i="4" l="1"/>
  <c r="C46" i="4"/>
  <c r="J49" i="4" s="1"/>
  <c r="D49" i="4" l="1"/>
  <c r="F27" i="4"/>
  <c r="E27" i="4"/>
  <c r="G14" i="11" l="1"/>
  <c r="C49" i="4" l="1"/>
  <c r="D27" i="4"/>
  <c r="D16" i="4"/>
  <c r="E49" i="4" l="1"/>
  <c r="D13" i="11"/>
  <c r="J70" i="13" l="1"/>
  <c r="K69" i="13" l="1"/>
  <c r="J54" i="13" l="1"/>
  <c r="G13" i="13"/>
  <c r="L10" i="4"/>
  <c r="D48" i="13" l="1"/>
  <c r="E55" i="13" l="1"/>
  <c r="D55" i="13"/>
  <c r="D22" i="13"/>
  <c r="E22" i="13"/>
  <c r="C65" i="4" l="1"/>
  <c r="C62" i="4"/>
  <c r="E32" i="4" l="1"/>
  <c r="D12" i="12" l="1"/>
  <c r="L21" i="12" l="1"/>
  <c r="M21" i="12" s="1"/>
  <c r="C66" i="4"/>
  <c r="D66" i="4"/>
  <c r="I21" i="12"/>
  <c r="J21" i="12" s="1"/>
  <c r="E48" i="13"/>
  <c r="I48" i="13" s="1"/>
  <c r="E12" i="12" l="1"/>
  <c r="E61" i="4" l="1"/>
  <c r="F31" i="4"/>
  <c r="E18" i="12" l="1"/>
  <c r="D18" i="12"/>
  <c r="H17" i="13" l="1"/>
  <c r="H16" i="13"/>
  <c r="D15" i="13" l="1"/>
  <c r="E9" i="13"/>
  <c r="D9" i="13"/>
  <c r="D2" i="13"/>
  <c r="E2" i="13"/>
  <c r="I10" i="12"/>
  <c r="J10" i="12" s="1"/>
  <c r="I11" i="12"/>
  <c r="J11" i="12" s="1"/>
  <c r="I14" i="12"/>
  <c r="J14" i="12" s="1"/>
  <c r="I15" i="12"/>
  <c r="J15" i="12" s="1"/>
  <c r="I16" i="12"/>
  <c r="J16" i="12" s="1"/>
  <c r="E31" i="11"/>
  <c r="D31" i="11"/>
  <c r="D23" i="13" l="1"/>
  <c r="I13" i="12"/>
  <c r="J13" i="12" s="1"/>
  <c r="G5" i="13" l="1"/>
  <c r="G6" i="13" l="1"/>
  <c r="E20" i="12" l="1"/>
  <c r="D20" i="12"/>
  <c r="D23" i="12" s="1"/>
  <c r="D25" i="12" s="1"/>
  <c r="D29" i="12" l="1"/>
  <c r="D30" i="12" s="1"/>
  <c r="E23" i="12"/>
  <c r="E25" i="12" s="1"/>
  <c r="E29" i="12" s="1"/>
  <c r="E30" i="12" s="1"/>
  <c r="E27" i="12" l="1"/>
  <c r="D27" i="12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F33" i="4"/>
  <c r="E29" i="4"/>
  <c r="L30" i="4"/>
  <c r="L24" i="4"/>
  <c r="F25" i="4"/>
  <c r="L29" i="4" s="1"/>
  <c r="F24" i="4"/>
  <c r="L27" i="4" s="1"/>
  <c r="F21" i="4"/>
  <c r="F14" i="4"/>
  <c r="F8" i="4"/>
  <c r="L4" i="4"/>
  <c r="J4" i="4"/>
  <c r="J28" i="4" l="1"/>
  <c r="C19" i="10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L42" i="4" s="1"/>
  <c r="F23" i="4"/>
  <c r="L26" i="4" s="1"/>
  <c r="L32" i="4" s="1"/>
  <c r="E22" i="4" s="1"/>
  <c r="D23" i="4"/>
  <c r="J26" i="4" s="1"/>
  <c r="J32" i="4" s="1"/>
  <c r="D22" i="4" s="1"/>
  <c r="G68" i="13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2" i="13"/>
  <c r="H22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L45" i="4" l="1"/>
  <c r="M45" i="4" s="1"/>
  <c r="J5" i="12"/>
  <c r="M32" i="4"/>
  <c r="F22" i="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L20" i="12" l="1"/>
  <c r="M20" i="12" s="1"/>
  <c r="L7" i="12"/>
  <c r="M7" i="12" s="1"/>
  <c r="L16" i="12"/>
  <c r="M16" i="12" s="1"/>
  <c r="L27" i="12" l="1"/>
  <c r="M27" i="12" s="1"/>
  <c r="L23" i="12"/>
  <c r="M23" i="12" s="1"/>
  <c r="I18" i="12" l="1"/>
  <c r="L18" i="12" l="1"/>
  <c r="M18" i="12" s="1"/>
  <c r="J18" i="12"/>
  <c r="I20" i="12"/>
  <c r="J20" i="12" s="1"/>
  <c r="I23" i="12" l="1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3" i="10" l="1"/>
  <c r="C17" i="10" l="1"/>
  <c r="C18" i="10" l="1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Q42" i="4" l="1"/>
  <c r="J45" i="4"/>
  <c r="K45" i="4" s="1"/>
  <c r="O45" i="4" s="1"/>
  <c r="P42" i="4"/>
  <c r="P45" i="4" l="1"/>
  <c r="D12" i="4" l="1"/>
  <c r="D26" i="11" l="1"/>
  <c r="D15" i="11"/>
  <c r="D54" i="11" l="1"/>
  <c r="D42" i="11"/>
  <c r="D63" i="11"/>
  <c r="D7" i="4"/>
  <c r="D35" i="4" l="1"/>
  <c r="D11" i="4"/>
  <c r="J20" i="4" s="1"/>
  <c r="D65" i="11"/>
  <c r="D13" i="4"/>
  <c r="J15" i="4" s="1"/>
  <c r="D28" i="11"/>
  <c r="D36" i="4" s="1"/>
  <c r="D6" i="4"/>
  <c r="D44" i="11"/>
  <c r="J7" i="4" l="1"/>
  <c r="D8" i="4"/>
  <c r="D56" i="11"/>
  <c r="D10" i="4"/>
  <c r="J14" i="4" l="1"/>
  <c r="J18" i="4"/>
  <c r="J21" i="4" s="1"/>
  <c r="J17" i="4"/>
  <c r="J11" i="4"/>
  <c r="J8" i="4"/>
  <c r="K7" i="4" s="1"/>
  <c r="D67" i="11"/>
  <c r="D69" i="11" s="1"/>
  <c r="D14" i="4"/>
  <c r="D15" i="4" s="1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E7" i="4" s="1"/>
  <c r="E12" i="4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E11" i="4"/>
  <c r="L20" i="4" s="1"/>
  <c r="P20" i="4" s="1"/>
  <c r="G42" i="11"/>
  <c r="H42" i="11" s="1"/>
  <c r="G54" i="11"/>
  <c r="H54" i="11" s="1"/>
  <c r="G26" i="11"/>
  <c r="H26" i="11" s="1"/>
  <c r="E28" i="11"/>
  <c r="G28" i="11" s="1"/>
  <c r="H28" i="11" s="1"/>
  <c r="E6" i="4"/>
  <c r="E65" i="11"/>
  <c r="G65" i="11" s="1"/>
  <c r="H65" i="11" s="1"/>
  <c r="E13" i="4"/>
  <c r="H63" i="11"/>
  <c r="E56" i="11"/>
  <c r="E10" i="4"/>
  <c r="G44" i="11"/>
  <c r="H44" i="11" s="1"/>
  <c r="Q20" i="4" l="1"/>
  <c r="L7" i="4"/>
  <c r="Q7" i="4" s="1"/>
  <c r="E8" i="4"/>
  <c r="L43" i="4" s="1"/>
  <c r="L11" i="4"/>
  <c r="L18" i="4"/>
  <c r="E14" i="4"/>
  <c r="L14" i="4"/>
  <c r="L8" i="4"/>
  <c r="L17" i="4"/>
  <c r="L40" i="4"/>
  <c r="M39" i="4" s="1"/>
  <c r="J40" i="4"/>
  <c r="L15" i="4"/>
  <c r="E67" i="11"/>
  <c r="G56" i="11"/>
  <c r="H56" i="11" s="1"/>
  <c r="P15" i="4" l="1"/>
  <c r="Q15" i="4"/>
  <c r="M7" i="4"/>
  <c r="O7" i="4" s="1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M42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65" i="13" l="1"/>
  <c r="D66" i="13" s="1"/>
  <c r="D30" i="4" l="1"/>
  <c r="D31" i="4" l="1"/>
  <c r="G63" i="13" l="1"/>
  <c r="H63" i="13" s="1"/>
  <c r="E65" i="13"/>
  <c r="G64" i="13"/>
  <c r="H64" i="13" s="1"/>
  <c r="E30" i="4" l="1"/>
  <c r="G65" i="13"/>
  <c r="H65" i="13" s="1"/>
  <c r="D32" i="4" l="1"/>
  <c r="D33" i="4" s="1"/>
  <c r="G70" i="13"/>
  <c r="H70" i="13" s="1"/>
  <c r="J10" i="4" l="1"/>
  <c r="D34" i="4"/>
  <c r="Q10" i="4" l="1"/>
  <c r="P10" i="4"/>
  <c r="K10" i="4"/>
  <c r="O10" i="4" l="1"/>
  <c r="G14" i="13" l="1"/>
  <c r="H14" i="13" s="1"/>
  <c r="E15" i="13" l="1"/>
  <c r="G10" i="13"/>
  <c r="H10" i="13" s="1"/>
  <c r="E23" i="13" l="1"/>
  <c r="G15" i="13"/>
  <c r="H15" i="13" s="1"/>
  <c r="G23" i="13" l="1"/>
  <c r="H23" i="13" s="1"/>
  <c r="E28" i="4"/>
  <c r="E66" i="13"/>
  <c r="G66" i="13" s="1"/>
  <c r="H66" i="13" s="1"/>
  <c r="E31" i="4" l="1"/>
  <c r="E33" i="4" s="1"/>
  <c r="E73" i="13" l="1"/>
  <c r="G69" i="13" l="1"/>
  <c r="H69" i="13" s="1"/>
  <c r="D73" i="13"/>
  <c r="G71" i="13"/>
  <c r="H71" i="13" s="1"/>
</calcChain>
</file>

<file path=xl/sharedStrings.xml><?xml version="1.0" encoding="utf-8"?>
<sst xmlns="http://schemas.openxmlformats.org/spreadsheetml/2006/main" count="579" uniqueCount="416">
  <si>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</si>
  <si>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</si>
  <si>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</si>
  <si>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</si>
  <si>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</si>
  <si>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</si>
  <si>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</si>
  <si>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</si>
  <si>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</si>
  <si>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</si>
  <si>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</si>
  <si>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</si>
  <si>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</si>
  <si>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</si>
  <si>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</si>
  <si>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</si>
  <si>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</si>
  <si>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</si>
  <si>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</si>
  <si>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</si>
  <si>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</si>
  <si>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</si>
  <si>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</si>
  <si>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</si>
  <si>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</si>
  <si>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</si>
  <si>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</si>
  <si>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</si>
  <si>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</si>
  <si>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</si>
  <si>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</si>
  <si>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</si>
  <si>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</si>
  <si>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</si>
  <si>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</si>
  <si>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</si>
  <si>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</si>
  <si>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</si>
  <si>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</si>
  <si>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</si>
  <si>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</si>
  <si>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</si>
  <si>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</si>
  <si>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</si>
  <si>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</si>
  <si>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</si>
  <si>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</si>
  <si>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</si>
  <si>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</si>
  <si>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</si>
  <si>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</si>
  <si>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</si>
  <si>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</si>
  <si>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</si>
  <si>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</si>
  <si>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</si>
  <si>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</si>
  <si>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</si>
  <si>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</si>
  <si>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</si>
  <si>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</si>
  <si>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</si>
  <si>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</si>
  <si>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</si>
  <si>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</si>
  <si>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</si>
  <si>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</si>
  <si>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</si>
  <si>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</si>
  <si>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</si>
  <si>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</si>
  <si>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</si>
  <si>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</si>
  <si>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</si>
  <si>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</si>
  <si>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</si>
  <si>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</si>
  <si>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</si>
  <si>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</si>
  <si>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</si>
  <si>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</si>
  <si>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</si>
  <si>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</si>
  <si>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</si>
  <si>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</si>
  <si>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</si>
  <si>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</si>
  <si>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</si>
  <si>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</si>
  <si>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</si>
  <si>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</si>
  <si>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</si>
  <si>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</si>
  <si>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</si>
  <si>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</si>
  <si>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</si>
  <si>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</si>
  <si>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</si>
  <si>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</si>
  <si>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</si>
  <si>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</si>
  <si>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</si>
  <si>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</si>
  <si>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</si>
  <si>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</si>
  <si>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</si>
  <si>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</si>
  <si>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</si>
  <si>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</si>
  <si>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</si>
  <si>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</si>
  <si>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</si>
  <si>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</si>
  <si>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</si>
  <si>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</si>
  <si>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</si>
  <si>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</si>
  <si>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</si>
  <si>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</si>
  <si>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</si>
  <si>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</si>
  <si>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</si>
  <si>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</si>
  <si>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</si>
  <si>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</si>
  <si>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</si>
  <si>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</si>
  <si>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</si>
  <si>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</si>
  <si>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</si>
  <si>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</si>
  <si>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</si>
  <si>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</si>
  <si>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</si>
  <si>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</si>
  <si>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</si>
  <si>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</si>
  <si>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</si>
  <si>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</si>
  <si>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</si>
  <si>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</si>
  <si>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</si>
  <si>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</si>
  <si>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</si>
  <si>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</si>
  <si>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</si>
  <si>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</si>
  <si>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</si>
  <si>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</si>
  <si>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</si>
  <si>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</si>
  <si>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</si>
  <si>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</si>
  <si>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</si>
  <si>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</si>
  <si>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</si>
  <si>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</si>
  <si>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</si>
  <si>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</si>
  <si>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</si>
  <si>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</si>
  <si>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</si>
  <si>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</si>
  <si>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</si>
  <si>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</si>
  <si>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</si>
  <si>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</si>
  <si>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</si>
  <si>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</si>
  <si>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</si>
  <si>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</si>
  <si>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</si>
  <si>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</si>
  <si>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</si>
  <si>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</si>
  <si>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</si>
  <si>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</si>
  <si>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</si>
  <si>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</si>
  <si>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</si>
  <si>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</si>
  <si>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</si>
  <si>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</si>
  <si>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</si>
  <si>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</si>
  <si>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</si>
  <si>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</si>
  <si>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</si>
  <si>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</si>
  <si>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</si>
  <si>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</si>
  <si>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</si>
  <si>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</si>
  <si>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</si>
  <si>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</si>
  <si>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</si>
  <si>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</si>
  <si>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</si>
  <si>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</si>
  <si>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</si>
  <si>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</si>
  <si>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</si>
  <si>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</si>
  <si>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</si>
  <si>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</si>
  <si>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</si>
  <si>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</si>
  <si>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</si>
  <si>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</si>
  <si>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</si>
  <si>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</si>
  <si>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</si>
  <si>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</si>
  <si>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</si>
  <si>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</si>
  <si>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</si>
  <si>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</si>
  <si>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</si>
  <si>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</si>
  <si>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</si>
  <si>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</si>
  <si>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</si>
  <si>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</si>
  <si>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</si>
  <si>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</si>
  <si>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</si>
  <si>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</si>
  <si>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</si>
  <si>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</si>
  <si>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</si>
  <si>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</si>
  <si>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</si>
  <si>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</si>
  <si>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</si>
  <si>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</si>
  <si>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</si>
  <si>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</si>
  <si>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</si>
  <si>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</si>
  <si>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</si>
  <si>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</si>
  <si>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</si>
  <si>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</si>
  <si>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</si>
  <si>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</si>
  <si>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</si>
  <si>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</si>
  <si>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</si>
  <si>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</si>
  <si>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</si>
  <si>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</si>
  <si>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</si>
  <si>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</si>
  <si>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</si>
  <si>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</si>
  <si>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</si>
  <si>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</si>
  <si>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</si>
  <si>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</si>
  <si>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</si>
  <si>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</si>
  <si>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</si>
  <si>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</si>
  <si>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</si>
  <si>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</si>
  <si>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</si>
  <si>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</si>
  <si>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</si>
  <si>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</si>
  <si>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</si>
  <si>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</si>
  <si>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</si>
  <si>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</si>
  <si>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</si>
  <si>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</si>
  <si>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</si>
  <si>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>Dividendos: indicar pago últimos 12 meses histórico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</si>
  <si>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</si>
  <si>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</si>
  <si>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</si>
  <si>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</si>
  <si>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</si>
  <si>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</si>
  <si>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</si>
  <si>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Otras (Pérdidas) Ganancias</t>
  </si>
  <si>
    <t>Control</t>
  </si>
  <si>
    <t>TOTAL ACTIVO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</si>
  <si>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</si>
  <si>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</si>
  <si>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</si>
  <si>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</si>
  <si>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</si>
  <si>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</si>
  <si>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</si>
  <si>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</si>
  <si>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</si>
  <si>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</si>
  <si>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</si>
  <si>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</si>
  <si>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</si>
  <si>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</si>
  <si>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</si>
  <si>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</si>
  <si>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</si>
  <si>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</si>
  <si>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</si>
  <si>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</si>
  <si>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</si>
  <si>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</si>
  <si>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</si>
  <si>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</si>
  <si>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&lt;(200%)</t>
  </si>
  <si>
    <t>Total otros pasivos financieros</t>
  </si>
  <si>
    <t>Total pasivos por arrendamiento</t>
  </si>
  <si>
    <t>Otras reservas</t>
  </si>
  <si>
    <t xml:space="preserve">Pérdidas por deterioro de valor </t>
  </si>
  <si>
    <t>Pérdidas por deterioro de valor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</si>
  <si>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</si>
  <si>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</si>
  <si>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</si>
  <si>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</si>
  <si>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</si>
  <si>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Hidrogistica S.A.</t>
  </si>
  <si>
    <t>AR</t>
  </si>
  <si>
    <t xml:space="preserve">Derivado </t>
  </si>
  <si>
    <t>Dic-22</t>
  </si>
  <si>
    <t xml:space="preserve">EUR 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</si>
  <si>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</si>
  <si>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</si>
  <si>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</si>
  <si>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</si>
  <si>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</si>
  <si>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</si>
  <si>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</si>
  <si>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</si>
  <si>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</si>
  <si>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</si>
  <si>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</si>
  <si>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</si>
  <si>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</si>
  <si>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</si>
  <si>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</si>
  <si>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>Primas de emisión</t>
  </si>
  <si>
    <t>Otros activos no financieros no corrientes</t>
  </si>
  <si>
    <t>Otros activos financieros no corrientes</t>
  </si>
  <si>
    <t>Cuentas por pagar a entidades relacionadas no corrientes</t>
  </si>
  <si>
    <t>Otros pasivos financieros no corrientes</t>
  </si>
  <si>
    <t xml:space="preserve">Otros pasivos financieros </t>
  </si>
  <si>
    <t>Pasivos por arrendamientos no corrientes</t>
  </si>
  <si>
    <t>Otros pasivos no financieros no corrientes</t>
  </si>
  <si>
    <t>Otras provisiones no corrientes</t>
  </si>
  <si>
    <t>Dic-23</t>
  </si>
  <si>
    <t>Dic 23 -Dic 22</t>
  </si>
  <si>
    <t xml:space="preserve">Impuestos a las ganancias (pagados) </t>
  </si>
  <si>
    <t>Dividendos pagados - actividades de operación</t>
  </si>
  <si>
    <t>Dividendos recibidos - actividades de operación</t>
  </si>
  <si>
    <t>Intereses pagados - actividades de operación</t>
  </si>
  <si>
    <t>Intereses recibidos - actividades de operación</t>
  </si>
  <si>
    <t>Otras entradas (salidas) de efectivo - actividades de operación</t>
  </si>
  <si>
    <t>Importes procedentes de subvenciones del gobierno - inversión</t>
  </si>
  <si>
    <t>Impuestos a las ganancias reembolsados (pagados) - inversión</t>
  </si>
  <si>
    <t>Otras entradas (salidas) de efectivo - inversión</t>
  </si>
  <si>
    <t>Efectos de la variación en la tasa de cambio sobre el efectivo y equivalentes al efectivo.</t>
  </si>
  <si>
    <t>Mes de pago: dic 23</t>
  </si>
  <si>
    <t>Interes minoritario</t>
  </si>
  <si>
    <t>Bonos/Derivado</t>
  </si>
  <si>
    <t>Interés Minoritario</t>
  </si>
  <si>
    <t xml:space="preserve">         Dic. 23</t>
  </si>
  <si>
    <t>2024 / 2023</t>
  </si>
  <si>
    <t>Mes de pago: mar 23</t>
  </si>
  <si>
    <t>Sondajes y refuerzos de sistema de abastecimiento de agua</t>
  </si>
  <si>
    <t>Otros proyectos de inversión</t>
  </si>
  <si>
    <t>Ganancia, atribuible a participaciones no controladora</t>
  </si>
  <si>
    <t>12-14-15</t>
  </si>
  <si>
    <t>24</t>
  </si>
  <si>
    <t>30-06-2024</t>
  </si>
  <si>
    <t>Ejercicio 2023</t>
  </si>
  <si>
    <t>Periodo jun 2024 - jun 2023</t>
  </si>
  <si>
    <t>Mes de pago: may 24</t>
  </si>
  <si>
    <t>Interés minoritario</t>
  </si>
  <si>
    <t>Aspectos financieros al 30-06-2024</t>
  </si>
  <si>
    <t>Forward</t>
  </si>
  <si>
    <t>Biogenera S.A.</t>
  </si>
  <si>
    <t>Sep.24</t>
  </si>
  <si>
    <t>Sep.23</t>
  </si>
  <si>
    <t>3T24</t>
  </si>
  <si>
    <t>3T23</t>
  </si>
  <si>
    <t>01-07-2024
30-09-2024</t>
  </si>
  <si>
    <t>01-07-2023
30-09-2023</t>
  </si>
  <si>
    <t>Sep-24</t>
  </si>
  <si>
    <t>Sep-23</t>
  </si>
  <si>
    <t>Sep 24 - Sep 23</t>
  </si>
  <si>
    <t>Acum sep 2023</t>
  </si>
  <si>
    <t>Acum sep 2024</t>
  </si>
  <si>
    <t>Mayor inversión, mayores pagos a proveedores de bienes y servicios</t>
  </si>
  <si>
    <t xml:space="preserve">Pago Bonos </t>
  </si>
  <si>
    <t>Menores pagos seguros anticipados</t>
  </si>
  <si>
    <t>Mayor provisión de deudores incobrables, menor provisión ingresos devengados, menores ventas ocasionales</t>
  </si>
  <si>
    <t>Mayores gastos anticipados</t>
  </si>
  <si>
    <t>Menor inversión en Activos Intangibles</t>
  </si>
  <si>
    <t>Mayor inversión en PPE</t>
  </si>
  <si>
    <t>Prepago o finiquito prestamos bancarios, menor AFR</t>
  </si>
  <si>
    <t>Mayor pago a proveedores de bienes y servicios</t>
  </si>
  <si>
    <t>Menor IVA, PPM y otros impuestos</t>
  </si>
  <si>
    <t>Colocacion Bono Suizo</t>
  </si>
  <si>
    <t>Renovación de redes de aguas servidas</t>
  </si>
  <si>
    <t>Renovación de redes de agua potable</t>
  </si>
  <si>
    <t>Arranques y medidores</t>
  </si>
  <si>
    <t>Plan de eficiencia hidráulica</t>
  </si>
  <si>
    <t>Plan de macromedición pozos y estanques</t>
  </si>
  <si>
    <t>Reposición de activos de biofactorías La Farfana-Trebal Mapocho</t>
  </si>
  <si>
    <t>Renovación filtros Vizcachitas - Tagle</t>
  </si>
  <si>
    <t xml:space="preserve">Ampliación planta de tratamiento agua potable Padre Hurtado           </t>
  </si>
  <si>
    <t>Inversiones (Miles $)</t>
  </si>
  <si>
    <t>Tratamiento y disposición de aguas servidas</t>
  </si>
  <si>
    <t>3T24 – 3T23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</si>
</sst>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  <numFmt numFmtId="206" formatCode="0.000000%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477">
    <xf numFmtId="0" fontId="0" fillId="0" borderId="0" xfId="0"/>
    <xf numFmtId="3" fontId="70" fillId="0" borderId="0" xfId="0" applyNumberFormat="1" applyFont="1"/>
    <xf numFmtId="0" fontId="71" fillId="0" borderId="65" xfId="0" applyFont="1" applyBorder="1" applyAlignment="1">
      <alignment vertical="center"/>
    </xf>
    <xf numFmtId="0" fontId="72" fillId="0" borderId="40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37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37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8" applyFont="1" applyAlignment="1">
      <alignment horizontal="left" indent="2"/>
    </xf>
    <xf numFmtId="0" fontId="73" fillId="0" borderId="0" xfId="1698" applyFont="1"/>
    <xf numFmtId="0" fontId="73" fillId="0" borderId="0" xfId="1698" applyFont="1" applyAlignment="1">
      <alignment vertical="center"/>
    </xf>
    <xf numFmtId="3" fontId="73" fillId="0" borderId="0" xfId="1698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37" xfId="0" applyFont="1" applyBorder="1" applyAlignment="1">
      <alignment horizontal="left"/>
    </xf>
    <xf numFmtId="0" fontId="71" fillId="0" borderId="37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1" fillId="0" borderId="40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50" applyFont="1"/>
    <xf numFmtId="9" fontId="74" fillId="0" borderId="0" xfId="950" applyFont="1"/>
    <xf numFmtId="202" fontId="72" fillId="0" borderId="0" xfId="0" applyNumberFormat="1" applyFont="1" applyAlignment="1">
      <alignment horizontal="center" vertical="center"/>
    </xf>
    <xf numFmtId="0" fontId="71" fillId="0" borderId="37" xfId="0" applyFont="1" applyBorder="1"/>
    <xf numFmtId="186" fontId="72" fillId="0" borderId="0" xfId="0" applyNumberFormat="1" applyFont="1"/>
    <xf numFmtId="0" fontId="72" fillId="0" borderId="0" xfId="0" applyFont="1" applyAlignment="1">
      <alignment vertical="center" wrapText="1"/>
    </xf>
    <xf numFmtId="0" fontId="80" fillId="0" borderId="65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6" fillId="73" borderId="51" xfId="904" applyNumberFormat="1" applyFont="1" applyFill="1" applyBorder="1" applyAlignment="1">
      <alignment horizontal="center" vertical="center"/>
    </xf>
    <xf numFmtId="14" fontId="86" fillId="73" borderId="52" xfId="904" applyNumberFormat="1" applyFont="1" applyFill="1" applyBorder="1" applyAlignment="1">
      <alignment horizontal="center" vertical="center"/>
    </xf>
    <xf numFmtId="203" fontId="86" fillId="73" borderId="57" xfId="904" applyNumberFormat="1" applyFont="1" applyFill="1" applyBorder="1" applyAlignment="1">
      <alignment horizontal="center" vertical="top"/>
    </xf>
    <xf numFmtId="203" fontId="87" fillId="0" borderId="1" xfId="904" quotePrefix="1" applyNumberFormat="1" applyFont="1" applyBorder="1" applyAlignment="1">
      <alignment horizontal="center" vertical="center"/>
    </xf>
    <xf numFmtId="203" fontId="87" fillId="0" borderId="1" xfId="904" applyNumberFormat="1" applyFont="1" applyBorder="1" applyAlignment="1">
      <alignment vertical="center"/>
    </xf>
    <xf numFmtId="203" fontId="87" fillId="0" borderId="47" xfId="904" applyNumberFormat="1" applyFont="1" applyBorder="1" applyAlignment="1">
      <alignment vertical="center"/>
    </xf>
    <xf numFmtId="203" fontId="87" fillId="0" borderId="1" xfId="904" applyNumberFormat="1" applyFont="1" applyBorder="1" applyAlignment="1">
      <alignment horizontal="center" vertical="center"/>
    </xf>
    <xf numFmtId="203" fontId="86" fillId="73" borderId="56" xfId="904" applyNumberFormat="1" applyFont="1" applyFill="1" applyBorder="1" applyAlignment="1">
      <alignment horizontal="left" vertical="center" wrapText="1"/>
    </xf>
    <xf numFmtId="203" fontId="86" fillId="96" borderId="56" xfId="904" applyNumberFormat="1" applyFont="1" applyFill="1" applyBorder="1" applyAlignment="1">
      <alignment horizontal="left" vertical="center"/>
    </xf>
    <xf numFmtId="203" fontId="86" fillId="0" borderId="1" xfId="904" applyNumberFormat="1" applyFont="1" applyBorder="1" applyAlignment="1">
      <alignment horizontal="center" vertical="center"/>
    </xf>
    <xf numFmtId="203" fontId="86" fillId="73" borderId="48" xfId="904" applyNumberFormat="1" applyFont="1" applyFill="1" applyBorder="1" applyAlignment="1">
      <alignment horizontal="center" vertical="center"/>
    </xf>
    <xf numFmtId="203" fontId="86" fillId="0" borderId="60" xfId="904" applyNumberFormat="1" applyFont="1" applyBorder="1" applyAlignment="1">
      <alignment vertical="center"/>
    </xf>
    <xf numFmtId="203" fontId="87" fillId="0" borderId="56" xfId="904" applyNumberFormat="1" applyFont="1" applyBorder="1" applyAlignment="1">
      <alignment horizontal="left" vertical="center"/>
    </xf>
    <xf numFmtId="203" fontId="87" fillId="73" borderId="1" xfId="904" applyNumberFormat="1" applyFont="1" applyFill="1" applyBorder="1" applyAlignment="1">
      <alignment horizontal="center" vertical="center"/>
    </xf>
    <xf numFmtId="203" fontId="87" fillId="0" borderId="56" xfId="904" applyNumberFormat="1" applyFont="1" applyBorder="1" applyAlignment="1">
      <alignment vertical="center"/>
    </xf>
    <xf numFmtId="49" fontId="87" fillId="0" borderId="1" xfId="904" applyNumberFormat="1" applyFont="1" applyBorder="1" applyAlignment="1">
      <alignment horizontal="center" vertical="center"/>
    </xf>
    <xf numFmtId="0" fontId="87" fillId="0" borderId="56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6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0" fontId="86" fillId="0" borderId="56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0" fontId="86" fillId="73" borderId="56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6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0" fontId="86" fillId="0" borderId="56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9" xfId="904" applyFont="1" applyFill="1" applyBorder="1" applyAlignment="1">
      <alignment vertical="center"/>
    </xf>
    <xf numFmtId="0" fontId="87" fillId="73" borderId="48" xfId="904" applyFont="1" applyFill="1" applyBorder="1" applyAlignment="1">
      <alignment horizontal="center" vertical="center"/>
    </xf>
    <xf numFmtId="199" fontId="86" fillId="73" borderId="48" xfId="904" applyNumberFormat="1" applyFont="1" applyFill="1" applyBorder="1" applyAlignment="1">
      <alignment vertical="center"/>
    </xf>
    <xf numFmtId="203" fontId="87" fillId="0" borderId="42" xfId="0" applyNumberFormat="1" applyFont="1" applyBorder="1" applyAlignment="1">
      <alignment horizontal="left" vertical="center" wrapText="1"/>
    </xf>
    <xf numFmtId="203" fontId="87" fillId="0" borderId="43" xfId="0" applyNumberFormat="1" applyFont="1" applyBorder="1" applyAlignment="1">
      <alignment horizontal="center" vertical="center" wrapText="1"/>
    </xf>
    <xf numFmtId="203" fontId="86" fillId="0" borderId="42" xfId="0" applyNumberFormat="1" applyFont="1" applyBorder="1" applyAlignment="1">
      <alignment horizontal="left" vertical="center" wrapText="1"/>
    </xf>
    <xf numFmtId="203" fontId="86" fillId="0" borderId="43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41" xfId="0" applyFont="1" applyFill="1" applyBorder="1" applyAlignment="1">
      <alignment horizontal="center" vertical="center"/>
    </xf>
    <xf numFmtId="0" fontId="86" fillId="97" borderId="46" xfId="0" applyFont="1" applyFill="1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2" xfId="0" applyFont="1" applyBorder="1" applyAlignment="1">
      <alignment horizontal="left" vertical="center" wrapText="1"/>
    </xf>
    <xf numFmtId="0" fontId="86" fillId="96" borderId="42" xfId="0" applyFont="1" applyFill="1" applyBorder="1" applyAlignment="1">
      <alignment horizontal="left" vertical="center" wrapText="1"/>
    </xf>
    <xf numFmtId="0" fontId="87" fillId="96" borderId="43" xfId="0" applyFont="1" applyFill="1" applyBorder="1" applyAlignment="1">
      <alignment horizontal="center" vertical="center" wrapText="1"/>
    </xf>
    <xf numFmtId="0" fontId="86" fillId="96" borderId="43" xfId="0" applyFont="1" applyFill="1" applyBorder="1" applyAlignment="1">
      <alignment horizontal="center" vertical="center" wrapText="1"/>
    </xf>
    <xf numFmtId="0" fontId="86" fillId="96" borderId="42" xfId="0" applyFont="1" applyFill="1" applyBorder="1" applyAlignment="1">
      <alignment vertical="center" wrapText="1"/>
    </xf>
    <xf numFmtId="0" fontId="87" fillId="96" borderId="42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6" fillId="96" borderId="53" xfId="0" applyFont="1" applyFill="1" applyBorder="1" applyAlignment="1">
      <alignment horizontal="left" vertical="center" wrapText="1"/>
    </xf>
    <xf numFmtId="0" fontId="86" fillId="96" borderId="50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1" fontId="86" fillId="0" borderId="0" xfId="904" applyNumberFormat="1" applyFont="1" applyAlignment="1">
      <alignment horizontal="center" vertical="center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horizontal="right" vertical="center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4" fontId="92" fillId="0" borderId="0" xfId="0" applyNumberFormat="1" applyFont="1"/>
    <xf numFmtId="178" fontId="92" fillId="0" borderId="0" xfId="0" applyNumberFormat="1" applyFont="1"/>
    <xf numFmtId="170" fontId="92" fillId="0" borderId="0" xfId="0" applyNumberFormat="1" applyFont="1"/>
    <xf numFmtId="169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69" fontId="91" fillId="0" borderId="0" xfId="836" quotePrefix="1" applyNumberFormat="1" applyFont="1" applyFill="1" applyAlignment="1">
      <alignment horizontal="center"/>
    </xf>
    <xf numFmtId="169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30" xfId="0" applyFont="1" applyBorder="1"/>
    <xf numFmtId="0" fontId="92" fillId="0" borderId="31" xfId="0" applyFont="1" applyBorder="1"/>
    <xf numFmtId="0" fontId="92" fillId="0" borderId="63" xfId="0" applyFont="1" applyBorder="1"/>
    <xf numFmtId="0" fontId="92" fillId="0" borderId="32" xfId="0" applyFont="1" applyBorder="1"/>
    <xf numFmtId="0" fontId="91" fillId="0" borderId="24" xfId="0" applyFont="1" applyBorder="1"/>
    <xf numFmtId="183" fontId="93" fillId="0" borderId="0" xfId="0" applyNumberFormat="1" applyFont="1"/>
    <xf numFmtId="0" fontId="92" fillId="0" borderId="30" xfId="0" applyFont="1" applyBorder="1"/>
    <xf numFmtId="0" fontId="92" fillId="0" borderId="31" xfId="0" applyFont="1" applyBorder="1" applyAlignment="1">
      <alignment horizontal="center"/>
    </xf>
    <xf numFmtId="169" fontId="92" fillId="0" borderId="31" xfId="836" applyNumberFormat="1" applyFont="1" applyBorder="1"/>
    <xf numFmtId="169" fontId="92" fillId="0" borderId="63" xfId="836" applyNumberFormat="1" applyFont="1" applyBorder="1"/>
    <xf numFmtId="169" fontId="92" fillId="0" borderId="32" xfId="836" applyNumberFormat="1" applyFont="1" applyBorder="1"/>
    <xf numFmtId="179" fontId="92" fillId="0" borderId="0" xfId="836" applyNumberFormat="1" applyFont="1"/>
    <xf numFmtId="0" fontId="92" fillId="0" borderId="25" xfId="0" applyFont="1" applyBorder="1"/>
    <xf numFmtId="170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8" fontId="92" fillId="0" borderId="0" xfId="950" applyNumberFormat="1" applyFont="1"/>
    <xf numFmtId="188" fontId="93" fillId="0" borderId="0" xfId="950" applyNumberFormat="1" applyFont="1" applyFill="1" applyBorder="1"/>
    <xf numFmtId="0" fontId="94" fillId="93" borderId="30" xfId="0" applyFont="1" applyFill="1" applyBorder="1"/>
    <xf numFmtId="0" fontId="95" fillId="93" borderId="31" xfId="0" applyFont="1" applyFill="1" applyBorder="1"/>
    <xf numFmtId="169" fontId="94" fillId="93" borderId="31" xfId="836" applyNumberFormat="1" applyFont="1" applyFill="1" applyBorder="1"/>
    <xf numFmtId="169" fontId="94" fillId="93" borderId="63" xfId="836" applyNumberFormat="1" applyFont="1" applyFill="1" applyBorder="1"/>
    <xf numFmtId="169" fontId="94" fillId="93" borderId="32" xfId="836" applyNumberFormat="1" applyFont="1" applyFill="1" applyBorder="1"/>
    <xf numFmtId="169" fontId="92" fillId="0" borderId="0" xfId="836" applyNumberFormat="1" applyFont="1"/>
    <xf numFmtId="169" fontId="91" fillId="0" borderId="0" xfId="836" applyNumberFormat="1" applyFont="1"/>
    <xf numFmtId="2" fontId="92" fillId="0" borderId="0" xfId="0" applyNumberFormat="1" applyFont="1"/>
    <xf numFmtId="0" fontId="94" fillId="93" borderId="33" xfId="0" applyFont="1" applyFill="1" applyBorder="1"/>
    <xf numFmtId="0" fontId="95" fillId="93" borderId="34" xfId="0" applyFont="1" applyFill="1" applyBorder="1"/>
    <xf numFmtId="169" fontId="94" fillId="93" borderId="34" xfId="836" applyNumberFormat="1" applyFont="1" applyFill="1" applyBorder="1"/>
    <xf numFmtId="169" fontId="94" fillId="93" borderId="64" xfId="836" applyNumberFormat="1" applyFont="1" applyFill="1" applyBorder="1"/>
    <xf numFmtId="169" fontId="94" fillId="93" borderId="35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6" xfId="0" applyFont="1" applyBorder="1"/>
    <xf numFmtId="200" fontId="70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1" xfId="0" applyFont="1" applyBorder="1" applyAlignment="1">
      <alignment horizontal="center"/>
    </xf>
    <xf numFmtId="186" fontId="92" fillId="0" borderId="31" xfId="836" applyNumberFormat="1" applyFont="1" applyFill="1" applyBorder="1"/>
    <xf numFmtId="186" fontId="92" fillId="0" borderId="32" xfId="836" applyNumberFormat="1" applyFont="1" applyFill="1" applyBorder="1"/>
    <xf numFmtId="0" fontId="97" fillId="0" borderId="0" xfId="0" applyFont="1"/>
    <xf numFmtId="169" fontId="93" fillId="0" borderId="0" xfId="0" applyNumberFormat="1" applyFont="1"/>
    <xf numFmtId="186" fontId="91" fillId="0" borderId="31" xfId="836" applyNumberFormat="1" applyFont="1" applyFill="1" applyBorder="1"/>
    <xf numFmtId="186" fontId="91" fillId="0" borderId="32" xfId="836" applyNumberFormat="1" applyFont="1" applyFill="1" applyBorder="1"/>
    <xf numFmtId="176" fontId="93" fillId="0" borderId="0" xfId="836" applyNumberFormat="1" applyFont="1" applyFill="1" applyBorder="1"/>
    <xf numFmtId="171" fontId="91" fillId="0" borderId="0" xfId="0" applyNumberFormat="1" applyFont="1"/>
    <xf numFmtId="173" fontId="92" fillId="0" borderId="0" xfId="0" applyNumberFormat="1" applyFont="1"/>
    <xf numFmtId="188" fontId="92" fillId="0" borderId="0" xfId="950" applyNumberFormat="1" applyFont="1" applyFill="1" applyBorder="1"/>
    <xf numFmtId="0" fontId="92" fillId="0" borderId="33" xfId="0" applyFont="1" applyBorder="1"/>
    <xf numFmtId="0" fontId="92" fillId="0" borderId="34" xfId="0" applyFont="1" applyBorder="1" applyAlignment="1">
      <alignment horizontal="center"/>
    </xf>
    <xf numFmtId="186" fontId="92" fillId="0" borderId="34" xfId="836" applyNumberFormat="1" applyFont="1" applyFill="1" applyBorder="1"/>
    <xf numFmtId="186" fontId="92" fillId="0" borderId="44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0" fontId="99" fillId="0" borderId="0" xfId="0" applyNumberFormat="1" applyFont="1"/>
    <xf numFmtId="169" fontId="99" fillId="0" borderId="0" xfId="836" applyNumberFormat="1" applyFont="1"/>
    <xf numFmtId="186" fontId="92" fillId="0" borderId="0" xfId="836" applyNumberFormat="1" applyFont="1" applyBorder="1"/>
    <xf numFmtId="188" fontId="92" fillId="0" borderId="0" xfId="950" applyNumberFormat="1" applyFont="1" applyBorder="1"/>
    <xf numFmtId="189" fontId="99" fillId="0" borderId="0" xfId="0" applyNumberFormat="1" applyFont="1"/>
    <xf numFmtId="176" fontId="92" fillId="0" borderId="0" xfId="836" applyNumberFormat="1" applyFont="1"/>
    <xf numFmtId="186" fontId="92" fillId="0" borderId="31" xfId="836" applyNumberFormat="1" applyFont="1" applyBorder="1"/>
    <xf numFmtId="186" fontId="92" fillId="0" borderId="32" xfId="836" applyNumberFormat="1" applyFont="1" applyBorder="1"/>
    <xf numFmtId="182" fontId="92" fillId="0" borderId="0" xfId="0" applyNumberFormat="1" applyFont="1"/>
    <xf numFmtId="187" fontId="92" fillId="0" borderId="0" xfId="950" applyNumberFormat="1" applyFont="1"/>
    <xf numFmtId="174" fontId="91" fillId="0" borderId="0" xfId="0" applyNumberFormat="1" applyFont="1"/>
    <xf numFmtId="186" fontId="91" fillId="0" borderId="31" xfId="836" applyNumberFormat="1" applyFont="1" applyBorder="1"/>
    <xf numFmtId="186" fontId="91" fillId="0" borderId="32" xfId="836" applyNumberFormat="1" applyFont="1" applyBorder="1"/>
    <xf numFmtId="0" fontId="98" fillId="0" borderId="0" xfId="0" applyFont="1"/>
    <xf numFmtId="170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4" xfId="0" applyFont="1" applyFill="1" applyBorder="1" applyAlignment="1">
      <alignment horizontal="center"/>
    </xf>
    <xf numFmtId="186" fontId="94" fillId="93" borderId="34" xfId="836" applyNumberFormat="1" applyFont="1" applyFill="1" applyBorder="1"/>
    <xf numFmtId="186" fontId="94" fillId="93" borderId="35" xfId="836" applyNumberFormat="1" applyFont="1" applyFill="1" applyBorder="1"/>
    <xf numFmtId="173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169" fontId="92" fillId="94" borderId="29" xfId="836" applyNumberFormat="1" applyFont="1" applyFill="1" applyBorder="1"/>
    <xf numFmtId="0" fontId="92" fillId="94" borderId="30" xfId="0" applyFont="1" applyFill="1" applyBorder="1"/>
    <xf numFmtId="49" fontId="92" fillId="94" borderId="31" xfId="836" applyNumberFormat="1" applyFont="1" applyFill="1" applyBorder="1" applyAlignment="1">
      <alignment horizontal="left"/>
    </xf>
    <xf numFmtId="169" fontId="92" fillId="94" borderId="32" xfId="836" applyNumberFormat="1" applyFont="1" applyFill="1" applyBorder="1"/>
    <xf numFmtId="170" fontId="91" fillId="0" borderId="0" xfId="0" applyNumberFormat="1" applyFont="1"/>
    <xf numFmtId="186" fontId="92" fillId="94" borderId="32" xfId="836" applyNumberFormat="1" applyFont="1" applyFill="1" applyBorder="1"/>
    <xf numFmtId="10" fontId="92" fillId="0" borderId="0" xfId="950" applyNumberFormat="1" applyFont="1" applyFill="1"/>
    <xf numFmtId="0" fontId="92" fillId="94" borderId="33" xfId="0" applyFont="1" applyFill="1" applyBorder="1"/>
    <xf numFmtId="49" fontId="92" fillId="94" borderId="34" xfId="836" applyNumberFormat="1" applyFont="1" applyFill="1" applyBorder="1" applyAlignment="1">
      <alignment horizontal="left"/>
    </xf>
    <xf numFmtId="186" fontId="92" fillId="94" borderId="35" xfId="836" applyNumberFormat="1" applyFont="1" applyFill="1" applyBorder="1"/>
    <xf numFmtId="10" fontId="92" fillId="0" borderId="0" xfId="950" applyNumberFormat="1" applyFont="1"/>
    <xf numFmtId="10" fontId="93" fillId="0" borderId="0" xfId="0" applyNumberFormat="1" applyFont="1"/>
    <xf numFmtId="169" fontId="92" fillId="0" borderId="0" xfId="0" applyNumberFormat="1" applyFont="1"/>
    <xf numFmtId="170" fontId="93" fillId="0" borderId="0" xfId="0" applyNumberFormat="1" applyFont="1"/>
    <xf numFmtId="183" fontId="91" fillId="0" borderId="0" xfId="0" applyNumberFormat="1" applyFont="1"/>
    <xf numFmtId="170" fontId="92" fillId="95" borderId="0" xfId="0" applyNumberFormat="1" applyFont="1" applyFill="1"/>
    <xf numFmtId="169" fontId="92" fillId="0" borderId="0" xfId="828" applyNumberFormat="1" applyFont="1"/>
    <xf numFmtId="176" fontId="92" fillId="0" borderId="0" xfId="836" applyNumberFormat="1" applyFont="1" applyFill="1"/>
    <xf numFmtId="172" fontId="92" fillId="0" borderId="25" xfId="0" applyNumberFormat="1" applyFont="1" applyBorder="1"/>
    <xf numFmtId="177" fontId="92" fillId="0" borderId="25" xfId="836" applyNumberFormat="1" applyFont="1" applyBorder="1"/>
    <xf numFmtId="190" fontId="92" fillId="0" borderId="0" xfId="0" applyNumberFormat="1" applyFont="1"/>
    <xf numFmtId="4" fontId="92" fillId="95" borderId="0" xfId="0" applyNumberFormat="1" applyFont="1" applyFill="1"/>
    <xf numFmtId="172" fontId="92" fillId="0" borderId="0" xfId="0" applyNumberFormat="1" applyFont="1"/>
    <xf numFmtId="185" fontId="92" fillId="0" borderId="0" xfId="0" applyNumberFormat="1" applyFont="1"/>
    <xf numFmtId="10" fontId="100" fillId="0" borderId="0" xfId="0" applyNumberFormat="1" applyFont="1"/>
    <xf numFmtId="0" fontId="101" fillId="0" borderId="0" xfId="0" applyFont="1"/>
    <xf numFmtId="0" fontId="102" fillId="0" borderId="0" xfId="0" applyFont="1"/>
    <xf numFmtId="170" fontId="102" fillId="0" borderId="0" xfId="0" applyNumberFormat="1" applyFont="1"/>
    <xf numFmtId="169" fontId="92" fillId="0" borderId="0" xfId="836" applyNumberFormat="1" applyFont="1" applyFill="1" applyBorder="1"/>
    <xf numFmtId="180" fontId="93" fillId="0" borderId="0" xfId="0" applyNumberFormat="1" applyFont="1"/>
    <xf numFmtId="169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5" fontId="91" fillId="0" borderId="0" xfId="0" applyNumberFormat="1" applyFont="1"/>
    <xf numFmtId="181" fontId="92" fillId="0" borderId="0" xfId="0" applyNumberFormat="1" applyFont="1"/>
    <xf numFmtId="10" fontId="92" fillId="0" borderId="0" xfId="0" applyNumberFormat="1" applyFont="1"/>
    <xf numFmtId="198" fontId="92" fillId="0" borderId="0" xfId="828" applyNumberFormat="1" applyFont="1"/>
    <xf numFmtId="4" fontId="92" fillId="0" borderId="0" xfId="0" applyNumberFormat="1" applyFont="1"/>
    <xf numFmtId="0" fontId="104" fillId="0" borderId="0" xfId="1704"/>
    <xf numFmtId="0" fontId="80" fillId="0" borderId="37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37" xfId="0" applyNumberFormat="1" applyFont="1" applyBorder="1" applyAlignment="1">
      <alignment horizontal="right" vertical="center"/>
    </xf>
    <xf numFmtId="0" fontId="86" fillId="0" borderId="42" xfId="0" applyFont="1" applyBorder="1" applyAlignment="1">
      <alignment horizontal="left" vertical="center" wrapText="1"/>
    </xf>
    <xf numFmtId="191" fontId="86" fillId="73" borderId="71" xfId="904" applyNumberFormat="1" applyFont="1" applyFill="1" applyBorder="1" applyAlignment="1">
      <alignment horizontal="center" vertical="center"/>
    </xf>
    <xf numFmtId="191" fontId="86" fillId="73" borderId="72" xfId="904" applyNumberFormat="1" applyFont="1" applyFill="1" applyBorder="1" applyAlignment="1">
      <alignment horizontal="center" vertical="center"/>
    </xf>
    <xf numFmtId="203" fontId="87" fillId="0" borderId="0" xfId="0" applyNumberFormat="1" applyFont="1" applyAlignment="1">
      <alignment wrapText="1"/>
    </xf>
    <xf numFmtId="203" fontId="92" fillId="0" borderId="56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vertical="center"/>
    </xf>
    <xf numFmtId="0" fontId="92" fillId="0" borderId="42" xfId="877" applyFont="1" applyBorder="1" applyAlignment="1">
      <alignment horizontal="left" vertical="center" wrapText="1"/>
    </xf>
    <xf numFmtId="201" fontId="105" fillId="0" borderId="0" xfId="0" applyNumberFormat="1" applyFont="1"/>
    <xf numFmtId="165" fontId="87" fillId="0" borderId="0" xfId="903" applyNumberFormat="1" applyFont="1" applyAlignment="1">
      <alignment vertical="center"/>
    </xf>
    <xf numFmtId="165" fontId="89" fillId="99" borderId="73" xfId="904" applyNumberFormat="1" applyFont="1" applyFill="1" applyBorder="1" applyAlignment="1">
      <alignment vertical="center"/>
    </xf>
    <xf numFmtId="165" fontId="88" fillId="99" borderId="73" xfId="904" applyNumberFormat="1" applyFont="1" applyFill="1" applyBorder="1" applyAlignment="1">
      <alignment vertical="center"/>
    </xf>
    <xf numFmtId="165" fontId="89" fillId="99" borderId="73" xfId="903" applyNumberFormat="1" applyFont="1" applyFill="1" applyBorder="1" applyAlignment="1">
      <alignment vertical="center"/>
    </xf>
    <xf numFmtId="202" fontId="89" fillId="0" borderId="0" xfId="950" applyNumberFormat="1" applyFont="1" applyFill="1" applyBorder="1" applyAlignment="1">
      <alignment vertical="center"/>
    </xf>
    <xf numFmtId="165" fontId="87" fillId="0" borderId="1" xfId="904" applyNumberFormat="1" applyFont="1" applyBorder="1" applyAlignment="1">
      <alignment vertical="center"/>
    </xf>
    <xf numFmtId="165" fontId="87" fillId="0" borderId="47" xfId="904" applyNumberFormat="1" applyFont="1" applyBorder="1" applyAlignment="1">
      <alignment vertical="center"/>
    </xf>
    <xf numFmtId="165" fontId="86" fillId="73" borderId="1" xfId="904" applyNumberFormat="1" applyFont="1" applyFill="1" applyBorder="1" applyAlignment="1">
      <alignment vertical="center"/>
    </xf>
    <xf numFmtId="165" fontId="86" fillId="73" borderId="47" xfId="904" applyNumberFormat="1" applyFont="1" applyFill="1" applyBorder="1" applyAlignment="1">
      <alignment vertical="center"/>
    </xf>
    <xf numFmtId="165" fontId="86" fillId="73" borderId="1" xfId="904" applyNumberFormat="1" applyFont="1" applyFill="1" applyBorder="1" applyAlignment="1">
      <alignment horizontal="right" vertical="center"/>
    </xf>
    <xf numFmtId="165" fontId="86" fillId="73" borderId="47" xfId="904" applyNumberFormat="1" applyFont="1" applyFill="1" applyBorder="1" applyAlignment="1">
      <alignment horizontal="right" vertical="center"/>
    </xf>
    <xf numFmtId="165" fontId="86" fillId="0" borderId="1" xfId="904" applyNumberFormat="1" applyFont="1" applyBorder="1" applyAlignment="1">
      <alignment vertical="center"/>
    </xf>
    <xf numFmtId="165" fontId="86" fillId="0" borderId="47" xfId="904" applyNumberFormat="1" applyFont="1" applyBorder="1" applyAlignment="1">
      <alignment vertical="center"/>
    </xf>
    <xf numFmtId="165" fontId="86" fillId="73" borderId="48" xfId="904" applyNumberFormat="1" applyFont="1" applyFill="1" applyBorder="1" applyAlignment="1">
      <alignment vertical="center"/>
    </xf>
    <xf numFmtId="165" fontId="86" fillId="73" borderId="49" xfId="904" applyNumberFormat="1" applyFont="1" applyFill="1" applyBorder="1" applyAlignment="1">
      <alignment vertical="center"/>
    </xf>
    <xf numFmtId="165" fontId="86" fillId="0" borderId="60" xfId="904" applyNumberFormat="1" applyFont="1" applyBorder="1" applyAlignment="1">
      <alignment vertical="center"/>
    </xf>
    <xf numFmtId="165" fontId="86" fillId="0" borderId="66" xfId="904" applyNumberFormat="1" applyFont="1" applyBorder="1" applyAlignment="1">
      <alignment vertical="center"/>
    </xf>
    <xf numFmtId="165" fontId="87" fillId="0" borderId="0" xfId="903" applyNumberFormat="1" applyFont="1"/>
    <xf numFmtId="202" fontId="89" fillId="0" borderId="0" xfId="903" applyNumberFormat="1" applyFont="1" applyAlignment="1">
      <alignment vertical="center"/>
    </xf>
    <xf numFmtId="202" fontId="89" fillId="0" borderId="0" xfId="903" applyNumberFormat="1" applyFont="1" applyAlignment="1">
      <alignment horizontal="center" vertical="center"/>
    </xf>
    <xf numFmtId="165" fontId="88" fillId="99" borderId="83" xfId="904" applyNumberFormat="1" applyFont="1" applyFill="1" applyBorder="1" applyAlignment="1">
      <alignment horizontal="center" vertical="center"/>
    </xf>
    <xf numFmtId="202" fontId="88" fillId="99" borderId="84" xfId="904" applyNumberFormat="1" applyFont="1" applyFill="1" applyBorder="1" applyAlignment="1">
      <alignment horizontal="center" vertical="center"/>
    </xf>
    <xf numFmtId="202" fontId="89" fillId="99" borderId="74" xfId="950" applyNumberFormat="1" applyFont="1" applyFill="1" applyBorder="1" applyAlignment="1">
      <alignment vertical="center"/>
    </xf>
    <xf numFmtId="165" fontId="88" fillId="99" borderId="77" xfId="904" applyNumberFormat="1" applyFont="1" applyFill="1" applyBorder="1" applyAlignment="1">
      <alignment vertical="center"/>
    </xf>
    <xf numFmtId="202" fontId="88" fillId="99" borderId="78" xfId="950" applyNumberFormat="1" applyFont="1" applyFill="1" applyBorder="1" applyAlignment="1">
      <alignment vertical="center"/>
    </xf>
    <xf numFmtId="202" fontId="89" fillId="99" borderId="74" xfId="904" applyNumberFormat="1" applyFont="1" applyFill="1" applyBorder="1" applyAlignment="1">
      <alignment vertical="center"/>
    </xf>
    <xf numFmtId="165" fontId="89" fillId="99" borderId="75" xfId="904" applyNumberFormat="1" applyFont="1" applyFill="1" applyBorder="1" applyAlignment="1">
      <alignment vertical="center"/>
    </xf>
    <xf numFmtId="202" fontId="89" fillId="99" borderId="76" xfId="904" applyNumberFormat="1" applyFont="1" applyFill="1" applyBorder="1" applyAlignment="1">
      <alignment vertical="center"/>
    </xf>
    <xf numFmtId="202" fontId="88" fillId="99" borderId="78" xfId="904" applyNumberFormat="1" applyFont="1" applyFill="1" applyBorder="1" applyAlignment="1">
      <alignment vertical="center"/>
    </xf>
    <xf numFmtId="165" fontId="88" fillId="99" borderId="79" xfId="904" applyNumberFormat="1" applyFont="1" applyFill="1" applyBorder="1" applyAlignment="1">
      <alignment horizontal="center" vertical="center"/>
    </xf>
    <xf numFmtId="202" fontId="88" fillId="99" borderId="80" xfId="0" applyNumberFormat="1" applyFont="1" applyFill="1" applyBorder="1" applyAlignment="1">
      <alignment horizontal="center" vertical="center"/>
    </xf>
    <xf numFmtId="202" fontId="89" fillId="99" borderId="74" xfId="0" applyNumberFormat="1" applyFont="1" applyFill="1" applyBorder="1" applyAlignment="1">
      <alignment horizontal="center" vertical="center" wrapText="1"/>
    </xf>
    <xf numFmtId="202" fontId="89" fillId="99" borderId="74" xfId="1700" applyNumberFormat="1" applyFont="1" applyFill="1" applyBorder="1" applyAlignment="1">
      <alignment horizontal="center" vertical="center" wrapText="1"/>
    </xf>
    <xf numFmtId="202" fontId="88" fillId="99" borderId="74" xfId="0" applyNumberFormat="1" applyFont="1" applyFill="1" applyBorder="1" applyAlignment="1">
      <alignment horizontal="center" vertical="center" wrapText="1"/>
    </xf>
    <xf numFmtId="202" fontId="88" fillId="99" borderId="78" xfId="0" applyNumberFormat="1" applyFont="1" applyFill="1" applyBorder="1" applyAlignment="1">
      <alignment horizontal="center" vertical="center" wrapText="1"/>
    </xf>
    <xf numFmtId="202" fontId="88" fillId="99" borderId="74" xfId="1700" applyNumberFormat="1" applyFont="1" applyFill="1" applyBorder="1" applyAlignment="1">
      <alignment horizontal="center" vertical="center" wrapText="1"/>
    </xf>
    <xf numFmtId="203" fontId="86" fillId="96" borderId="56" xfId="904" applyNumberFormat="1" applyFont="1" applyFill="1" applyBorder="1" applyAlignment="1">
      <alignment vertical="center"/>
    </xf>
    <xf numFmtId="203" fontId="86" fillId="96" borderId="1" xfId="904" applyNumberFormat="1" applyFont="1" applyFill="1" applyBorder="1" applyAlignment="1">
      <alignment vertical="center"/>
    </xf>
    <xf numFmtId="165" fontId="87" fillId="0" borderId="43" xfId="0" applyNumberFormat="1" applyFont="1" applyBorder="1" applyAlignment="1">
      <alignment horizontal="right" vertical="center" wrapText="1"/>
    </xf>
    <xf numFmtId="165" fontId="86" fillId="0" borderId="43" xfId="0" applyNumberFormat="1" applyFont="1" applyBorder="1" applyAlignment="1">
      <alignment horizontal="right" vertical="center" wrapText="1"/>
    </xf>
    <xf numFmtId="165" fontId="86" fillId="0" borderId="45" xfId="0" applyNumberFormat="1" applyFont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vertical="center" wrapText="1"/>
    </xf>
    <xf numFmtId="165" fontId="87" fillId="96" borderId="43" xfId="0" applyNumberFormat="1" applyFont="1" applyFill="1" applyBorder="1" applyAlignment="1">
      <alignment horizontal="right" vertical="center" wrapText="1"/>
    </xf>
    <xf numFmtId="165" fontId="69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0" fontId="80" fillId="0" borderId="65" xfId="0" applyFont="1" applyBorder="1" applyAlignment="1">
      <alignment horizontal="right" vertical="center"/>
    </xf>
    <xf numFmtId="0" fontId="80" fillId="0" borderId="65" xfId="0" applyFont="1" applyBorder="1" applyAlignment="1">
      <alignment horizontal="center" vertical="center"/>
    </xf>
    <xf numFmtId="165" fontId="77" fillId="0" borderId="0" xfId="1700" applyFont="1" applyAlignment="1">
      <alignment horizontal="right" vertical="center"/>
    </xf>
    <xf numFmtId="165" fontId="80" fillId="0" borderId="0" xfId="1700" applyFont="1" applyAlignment="1">
      <alignment horizontal="right" vertical="center"/>
    </xf>
    <xf numFmtId="0" fontId="91" fillId="96" borderId="25" xfId="0" applyFont="1" applyFill="1" applyBorder="1"/>
    <xf numFmtId="0" fontId="91" fillId="0" borderId="88" xfId="0" applyFont="1" applyBorder="1"/>
    <xf numFmtId="3" fontId="92" fillId="0" borderId="0" xfId="0" applyNumberFormat="1" applyFont="1"/>
    <xf numFmtId="3" fontId="91" fillId="0" borderId="0" xfId="0" applyNumberFormat="1" applyFont="1"/>
    <xf numFmtId="10" fontId="91" fillId="0" borderId="0" xfId="1699" applyNumberFormat="1" applyFont="1"/>
    <xf numFmtId="202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horizontal="center" vertical="center"/>
    </xf>
    <xf numFmtId="202" fontId="89" fillId="0" borderId="0" xfId="904" applyNumberFormat="1" applyFont="1" applyAlignment="1">
      <alignment vertical="center"/>
    </xf>
    <xf numFmtId="202" fontId="88" fillId="0" borderId="0" xfId="904" applyNumberFormat="1" applyFont="1" applyAlignment="1">
      <alignment vertical="center"/>
    </xf>
    <xf numFmtId="0" fontId="77" fillId="0" borderId="0" xfId="0" applyFont="1" applyAlignment="1">
      <alignment horizontal="right"/>
    </xf>
    <xf numFmtId="165" fontId="73" fillId="0" borderId="0" xfId="0" applyNumberFormat="1" applyFont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165" fontId="71" fillId="0" borderId="0" xfId="1700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165" fontId="91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17" fontId="91" fillId="0" borderId="0" xfId="0" applyNumberFormat="1" applyFont="1" applyAlignment="1">
      <alignment horizontal="center"/>
    </xf>
    <xf numFmtId="165" fontId="92" fillId="0" borderId="0" xfId="0" applyNumberFormat="1" applyFont="1"/>
    <xf numFmtId="165" fontId="92" fillId="0" borderId="25" xfId="0" applyNumberFormat="1" applyFont="1" applyBorder="1"/>
    <xf numFmtId="165" fontId="91" fillId="0" borderId="0" xfId="0" applyNumberFormat="1" applyFont="1"/>
    <xf numFmtId="0" fontId="95" fillId="0" borderId="0" xfId="0" applyFont="1"/>
    <xf numFmtId="165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" fontId="91" fillId="0" borderId="0" xfId="0" applyNumberFormat="1" applyFont="1" applyAlignment="1">
      <alignment horizontal="center" vertical="center"/>
    </xf>
    <xf numFmtId="165" fontId="92" fillId="0" borderId="0" xfId="1700" applyFont="1"/>
    <xf numFmtId="0" fontId="87" fillId="100" borderId="0" xfId="0" applyFont="1" applyFill="1" applyAlignment="1">
      <alignment wrapText="1"/>
    </xf>
    <xf numFmtId="203" fontId="87" fillId="100" borderId="0" xfId="0" applyNumberFormat="1" applyFont="1" applyFill="1" applyAlignment="1">
      <alignment wrapText="1"/>
    </xf>
    <xf numFmtId="165" fontId="87" fillId="0" borderId="0" xfId="0" applyNumberFormat="1" applyFont="1" applyAlignment="1">
      <alignment wrapText="1"/>
    </xf>
    <xf numFmtId="0" fontId="71" fillId="0" borderId="65" xfId="0" applyFont="1" applyBorder="1" applyAlignment="1">
      <alignment horizontal="center" vertical="center"/>
    </xf>
    <xf numFmtId="188" fontId="73" fillId="0" borderId="0" xfId="0" applyNumberFormat="1" applyFont="1"/>
    <xf numFmtId="205" fontId="72" fillId="0" borderId="0" xfId="0" applyNumberFormat="1" applyFont="1"/>
    <xf numFmtId="165" fontId="89" fillId="100" borderId="73" xfId="904" applyNumberFormat="1" applyFont="1" applyFill="1" applyBorder="1" applyAlignment="1">
      <alignment vertical="center"/>
    </xf>
    <xf numFmtId="14" fontId="91" fillId="73" borderId="90" xfId="904" applyNumberFormat="1" applyFont="1" applyFill="1" applyBorder="1" applyAlignment="1">
      <alignment horizontal="center" vertical="center"/>
    </xf>
    <xf numFmtId="10" fontId="91" fillId="0" borderId="88" xfId="0" applyNumberFormat="1" applyFont="1" applyBorder="1"/>
    <xf numFmtId="10" fontId="71" fillId="0" borderId="0" xfId="950" applyNumberFormat="1" applyFont="1"/>
    <xf numFmtId="10" fontId="82" fillId="0" borderId="0" xfId="950" applyNumberFormat="1" applyFont="1" applyFill="1"/>
    <xf numFmtId="10" fontId="73" fillId="0" borderId="0" xfId="0" applyNumberFormat="1" applyFont="1"/>
    <xf numFmtId="10" fontId="83" fillId="0" borderId="0" xfId="950" applyNumberFormat="1" applyFont="1" applyFill="1"/>
    <xf numFmtId="165" fontId="73" fillId="0" borderId="0" xfId="1700" applyFont="1"/>
    <xf numFmtId="0" fontId="71" fillId="101" borderId="37" xfId="0" applyFont="1" applyFill="1" applyBorder="1" applyAlignment="1">
      <alignment vertical="center"/>
    </xf>
    <xf numFmtId="0" fontId="71" fillId="101" borderId="37" xfId="0" applyFont="1" applyFill="1" applyBorder="1" applyAlignment="1">
      <alignment horizontal="center" vertical="center"/>
    </xf>
    <xf numFmtId="0" fontId="73" fillId="101" borderId="0" xfId="0" applyFont="1" applyFill="1"/>
    <xf numFmtId="0" fontId="73" fillId="101" borderId="0" xfId="0" applyFont="1" applyFill="1" applyAlignment="1">
      <alignment vertical="center"/>
    </xf>
    <xf numFmtId="3" fontId="73" fillId="101" borderId="0" xfId="0" applyNumberFormat="1" applyFont="1" applyFill="1" applyAlignment="1">
      <alignment vertical="center"/>
    </xf>
    <xf numFmtId="3" fontId="69" fillId="101" borderId="0" xfId="0" applyNumberFormat="1" applyFont="1" applyFill="1"/>
    <xf numFmtId="3" fontId="71" fillId="101" borderId="0" xfId="0" applyNumberFormat="1" applyFont="1" applyFill="1" applyAlignment="1">
      <alignment horizontal="right" vertical="center"/>
    </xf>
    <xf numFmtId="0" fontId="92" fillId="0" borderId="91" xfId="0" applyFont="1" applyBorder="1"/>
    <xf numFmtId="0" fontId="92" fillId="0" borderId="92" xfId="0" applyFont="1" applyBorder="1"/>
    <xf numFmtId="0" fontId="95" fillId="93" borderId="93" xfId="0" applyFont="1" applyFill="1" applyBorder="1"/>
    <xf numFmtId="183" fontId="94" fillId="93" borderId="94" xfId="0" applyNumberFormat="1" applyFont="1" applyFill="1" applyBorder="1"/>
    <xf numFmtId="49" fontId="94" fillId="93" borderId="95" xfId="836" applyNumberFormat="1" applyFont="1" applyFill="1" applyBorder="1" applyAlignment="1">
      <alignment horizontal="left"/>
    </xf>
    <xf numFmtId="49" fontId="94" fillId="93" borderId="96" xfId="836" applyNumberFormat="1" applyFont="1" applyFill="1" applyBorder="1" applyAlignment="1">
      <alignment horizontal="center"/>
    </xf>
    <xf numFmtId="49" fontId="94" fillId="93" borderId="97" xfId="836" applyNumberFormat="1" applyFont="1" applyFill="1" applyBorder="1" applyAlignment="1">
      <alignment horizontal="center"/>
    </xf>
    <xf numFmtId="0" fontId="92" fillId="0" borderId="98" xfId="0" applyFont="1" applyBorder="1"/>
    <xf numFmtId="183" fontId="94" fillId="93" borderId="99" xfId="0" applyNumberFormat="1" applyFont="1" applyFill="1" applyBorder="1"/>
    <xf numFmtId="170" fontId="92" fillId="100" borderId="25" xfId="0" applyNumberFormat="1" applyFont="1" applyFill="1" applyBorder="1"/>
    <xf numFmtId="0" fontId="94" fillId="93" borderId="100" xfId="0" applyFont="1" applyFill="1" applyBorder="1"/>
    <xf numFmtId="49" fontId="94" fillId="93" borderId="101" xfId="836" quotePrefix="1" applyNumberFormat="1" applyFont="1" applyFill="1" applyBorder="1" applyAlignment="1">
      <alignment horizontal="center"/>
    </xf>
    <xf numFmtId="49" fontId="94" fillId="93" borderId="102" xfId="836" quotePrefix="1" applyNumberFormat="1" applyFont="1" applyFill="1" applyBorder="1" applyAlignment="1">
      <alignment horizontal="center"/>
    </xf>
    <xf numFmtId="0" fontId="92" fillId="0" borderId="103" xfId="0" applyFont="1" applyBorder="1"/>
    <xf numFmtId="186" fontId="92" fillId="0" borderId="104" xfId="836" applyNumberFormat="1" applyFont="1" applyFill="1" applyBorder="1"/>
    <xf numFmtId="0" fontId="91" fillId="0" borderId="103" xfId="0" applyFont="1" applyBorder="1"/>
    <xf numFmtId="0" fontId="103" fillId="0" borderId="103" xfId="0" applyFont="1" applyBorder="1"/>
    <xf numFmtId="0" fontId="91" fillId="0" borderId="105" xfId="0" applyFont="1" applyBorder="1"/>
    <xf numFmtId="186" fontId="91" fillId="0" borderId="104" xfId="836" applyNumberFormat="1" applyFont="1" applyFill="1" applyBorder="1"/>
    <xf numFmtId="186" fontId="91" fillId="0" borderId="106" xfId="836" applyNumberFormat="1" applyFont="1" applyFill="1" applyBorder="1"/>
    <xf numFmtId="186" fontId="91" fillId="0" borderId="107" xfId="836" applyNumberFormat="1" applyFont="1" applyFill="1" applyBorder="1"/>
    <xf numFmtId="186" fontId="79" fillId="0" borderId="31" xfId="836" applyNumberFormat="1" applyFont="1" applyFill="1" applyBorder="1"/>
    <xf numFmtId="186" fontId="79" fillId="0" borderId="104" xfId="836" applyNumberFormat="1" applyFont="1" applyFill="1" applyBorder="1"/>
    <xf numFmtId="165" fontId="73" fillId="0" borderId="0" xfId="1700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80" fillId="0" borderId="0" xfId="0" applyFont="1" applyAlignment="1">
      <alignment horizontal="center" vertical="center"/>
    </xf>
    <xf numFmtId="188" fontId="77" fillId="0" borderId="0" xfId="0" applyNumberFormat="1" applyFont="1" applyAlignment="1">
      <alignment horizontal="right" vertical="center"/>
    </xf>
    <xf numFmtId="3" fontId="77" fillId="0" borderId="39" xfId="0" applyNumberFormat="1" applyFont="1" applyBorder="1" applyAlignment="1">
      <alignment horizontal="right" vertical="center"/>
    </xf>
    <xf numFmtId="188" fontId="77" fillId="0" borderId="39" xfId="0" applyNumberFormat="1" applyFont="1" applyBorder="1" applyAlignment="1">
      <alignment horizontal="right" vertical="center"/>
    </xf>
    <xf numFmtId="188" fontId="80" fillId="0" borderId="0" xfId="0" applyNumberFormat="1" applyFont="1" applyAlignment="1">
      <alignment horizontal="right" vertical="center"/>
    </xf>
    <xf numFmtId="165" fontId="69" fillId="0" borderId="0" xfId="1700" applyFont="1" applyFill="1" applyAlignment="1">
      <alignment vertical="center"/>
    </xf>
    <xf numFmtId="165" fontId="73" fillId="0" borderId="0" xfId="1700" applyFont="1" applyFill="1" applyAlignment="1">
      <alignment vertical="center"/>
    </xf>
    <xf numFmtId="203" fontId="73" fillId="0" borderId="0" xfId="0" applyNumberFormat="1" applyFont="1"/>
    <xf numFmtId="0" fontId="80" fillId="101" borderId="0" xfId="0" applyFont="1" applyFill="1"/>
    <xf numFmtId="0" fontId="77" fillId="101" borderId="0" xfId="0" applyFont="1" applyFill="1" applyAlignment="1">
      <alignment vertical="center"/>
    </xf>
    <xf numFmtId="0" fontId="75" fillId="101" borderId="0" xfId="0" applyFont="1" applyFill="1" applyAlignment="1">
      <alignment horizontal="justify"/>
    </xf>
    <xf numFmtId="0" fontId="72" fillId="101" borderId="0" xfId="0" applyFont="1" applyFill="1" applyAlignment="1">
      <alignment vertical="center"/>
    </xf>
    <xf numFmtId="0" fontId="71" fillId="101" borderId="0" xfId="0" applyFont="1" applyFill="1" applyAlignment="1">
      <alignment vertical="center"/>
    </xf>
    <xf numFmtId="3" fontId="71" fillId="101" borderId="0" xfId="0" applyNumberFormat="1" applyFont="1" applyFill="1"/>
    <xf numFmtId="3" fontId="73" fillId="101" borderId="0" xfId="0" applyNumberFormat="1" applyFont="1" applyFill="1"/>
    <xf numFmtId="0" fontId="84" fillId="0" borderId="0" xfId="0" applyFont="1" applyAlignment="1">
      <alignment vertical="center"/>
    </xf>
    <xf numFmtId="14" fontId="108" fillId="73" borderId="90" xfId="904" applyNumberFormat="1" applyFont="1" applyFill="1" applyBorder="1" applyAlignment="1">
      <alignment horizontal="center" vertical="center" wrapText="1"/>
    </xf>
    <xf numFmtId="203" fontId="109" fillId="73" borderId="108" xfId="904" applyNumberFormat="1" applyFont="1" applyFill="1" applyBorder="1" applyAlignment="1">
      <alignment horizontal="center" vertical="top"/>
    </xf>
    <xf numFmtId="203" fontId="87" fillId="0" borderId="109" xfId="904" applyNumberFormat="1" applyFont="1" applyBorder="1" applyAlignment="1">
      <alignment vertical="center"/>
    </xf>
    <xf numFmtId="3" fontId="86" fillId="73" borderId="109" xfId="904" applyNumberFormat="1" applyFont="1" applyFill="1" applyBorder="1" applyAlignment="1">
      <alignment vertical="center"/>
    </xf>
    <xf numFmtId="3" fontId="87" fillId="0" borderId="109" xfId="904" applyNumberFormat="1" applyFont="1" applyBorder="1" applyAlignment="1">
      <alignment horizontal="center" vertical="center"/>
    </xf>
    <xf numFmtId="3" fontId="86" fillId="98" borderId="109" xfId="904" applyNumberFormat="1" applyFont="1" applyFill="1" applyBorder="1" applyAlignment="1">
      <alignment vertical="center"/>
    </xf>
    <xf numFmtId="204" fontId="87" fillId="0" borderId="109" xfId="904" applyNumberFormat="1" applyFont="1" applyBorder="1" applyAlignment="1">
      <alignment vertical="center"/>
    </xf>
    <xf numFmtId="199" fontId="86" fillId="73" borderId="110" xfId="904" applyNumberFormat="1" applyFont="1" applyFill="1" applyBorder="1" applyAlignment="1">
      <alignment vertical="center"/>
    </xf>
    <xf numFmtId="203" fontId="109" fillId="73" borderId="58" xfId="904" applyNumberFormat="1" applyFont="1" applyFill="1" applyBorder="1" applyAlignment="1">
      <alignment horizontal="center" vertical="top"/>
    </xf>
    <xf numFmtId="3" fontId="86" fillId="73" borderId="47" xfId="904" applyNumberFormat="1" applyFont="1" applyFill="1" applyBorder="1" applyAlignment="1">
      <alignment vertical="center"/>
    </xf>
    <xf numFmtId="3" fontId="87" fillId="0" borderId="47" xfId="904" applyNumberFormat="1" applyFont="1" applyBorder="1" applyAlignment="1">
      <alignment vertical="center"/>
    </xf>
    <xf numFmtId="3" fontId="86" fillId="98" borderId="47" xfId="904" applyNumberFormat="1" applyFont="1" applyFill="1" applyBorder="1" applyAlignment="1">
      <alignment vertical="center"/>
    </xf>
    <xf numFmtId="204" fontId="87" fillId="0" borderId="47" xfId="904" applyNumberFormat="1" applyFont="1" applyBorder="1" applyAlignment="1">
      <alignment vertical="center"/>
    </xf>
    <xf numFmtId="199" fontId="86" fillId="73" borderId="49" xfId="904" applyNumberFormat="1" applyFont="1" applyFill="1" applyBorder="1" applyAlignment="1">
      <alignment vertical="center"/>
    </xf>
    <xf numFmtId="1" fontId="92" fillId="94" borderId="31" xfId="836" applyNumberFormat="1" applyFont="1" applyFill="1" applyBorder="1" applyAlignment="1">
      <alignment horizontal="center"/>
    </xf>
    <xf numFmtId="165" fontId="70" fillId="0" borderId="0" xfId="1700" applyFont="1"/>
    <xf numFmtId="10" fontId="92" fillId="0" borderId="0" xfId="1699" applyNumberFormat="1" applyFont="1"/>
    <xf numFmtId="187" fontId="73" fillId="0" borderId="0" xfId="0" applyNumberFormat="1" applyFont="1"/>
    <xf numFmtId="203" fontId="86" fillId="73" borderId="56" xfId="904" applyNumberFormat="1" applyFont="1" applyFill="1" applyBorder="1" applyAlignment="1">
      <alignment horizontal="left" vertical="center"/>
    </xf>
    <xf numFmtId="203" fontId="86" fillId="73" borderId="1" xfId="904" applyNumberFormat="1" applyFont="1" applyFill="1" applyBorder="1" applyAlignment="1">
      <alignment horizontal="center" vertical="center"/>
    </xf>
    <xf numFmtId="0" fontId="87" fillId="0" borderId="0" xfId="903" applyFont="1" applyAlignment="1">
      <alignment vertical="center"/>
    </xf>
    <xf numFmtId="3" fontId="87" fillId="0" borderId="0" xfId="903" applyNumberFormat="1" applyFont="1" applyAlignment="1">
      <alignment vertical="center"/>
    </xf>
    <xf numFmtId="0" fontId="86" fillId="0" borderId="0" xfId="904" applyFont="1" applyAlignment="1">
      <alignment vertical="center"/>
    </xf>
    <xf numFmtId="203" fontId="86" fillId="73" borderId="57" xfId="904" applyNumberFormat="1" applyFont="1" applyFill="1" applyBorder="1" applyAlignment="1">
      <alignment horizontal="center" vertical="center"/>
    </xf>
    <xf numFmtId="203" fontId="86" fillId="73" borderId="58" xfId="904" applyNumberFormat="1" applyFont="1" applyFill="1" applyBorder="1" applyAlignment="1">
      <alignment horizontal="center" vertical="center"/>
    </xf>
    <xf numFmtId="192" fontId="86" fillId="0" borderId="0" xfId="904" applyNumberFormat="1" applyFont="1" applyAlignment="1">
      <alignment horizontal="center" vertical="center"/>
    </xf>
    <xf numFmtId="203" fontId="86" fillId="0" borderId="56" xfId="904" applyNumberFormat="1" applyFont="1" applyBorder="1" applyAlignment="1">
      <alignment horizontal="left" vertical="center"/>
    </xf>
    <xf numFmtId="0" fontId="90" fillId="0" borderId="0" xfId="904" applyFont="1" applyAlignment="1">
      <alignment vertical="center"/>
    </xf>
    <xf numFmtId="203" fontId="86" fillId="73" borderId="59" xfId="904" applyNumberFormat="1" applyFont="1" applyFill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203" fontId="86" fillId="0" borderId="1" xfId="904" applyNumberFormat="1" applyFont="1" applyBorder="1" applyAlignment="1">
      <alignment horizontal="left" vertical="center"/>
    </xf>
    <xf numFmtId="203" fontId="86" fillId="73" borderId="1" xfId="904" applyNumberFormat="1" applyFont="1" applyFill="1" applyBorder="1" applyAlignment="1">
      <alignment horizontal="left" vertical="center"/>
    </xf>
    <xf numFmtId="203" fontId="78" fillId="0" borderId="56" xfId="904" applyNumberFormat="1" applyFont="1" applyBorder="1" applyAlignment="1">
      <alignment horizontal="left" vertical="center"/>
    </xf>
    <xf numFmtId="203" fontId="86" fillId="0" borderId="56" xfId="904" applyNumberFormat="1" applyFont="1" applyBorder="1" applyAlignment="1">
      <alignment horizontal="left" vertical="center" wrapText="1"/>
    </xf>
    <xf numFmtId="203" fontId="86" fillId="73" borderId="48" xfId="904" applyNumberFormat="1" applyFont="1" applyFill="1" applyBorder="1" applyAlignment="1">
      <alignment horizontal="left" vertical="center"/>
    </xf>
    <xf numFmtId="3" fontId="106" fillId="0" borderId="0" xfId="903" applyNumberFormat="1" applyFont="1" applyAlignment="1">
      <alignment vertical="center"/>
    </xf>
    <xf numFmtId="165" fontId="106" fillId="0" borderId="0" xfId="1700" applyFont="1" applyFill="1" applyBorder="1" applyAlignment="1">
      <alignment vertical="center"/>
    </xf>
    <xf numFmtId="3" fontId="110" fillId="0" borderId="0" xfId="878" applyNumberFormat="1" applyFont="1" applyAlignment="1">
      <alignment horizontal="right"/>
    </xf>
    <xf numFmtId="3" fontId="87" fillId="100" borderId="0" xfId="904" applyNumberFormat="1" applyFont="1" applyFill="1" applyAlignment="1">
      <alignment vertical="center"/>
    </xf>
    <xf numFmtId="206" fontId="82" fillId="0" borderId="0" xfId="950" applyNumberFormat="1" applyFont="1" applyFill="1"/>
    <xf numFmtId="165" fontId="80" fillId="0" borderId="0" xfId="1700" applyFont="1" applyFill="1" applyAlignment="1">
      <alignment horizontal="right" vertical="center"/>
    </xf>
    <xf numFmtId="165" fontId="77" fillId="0" borderId="0" xfId="1700" applyFont="1" applyFill="1" applyAlignment="1">
      <alignment horizontal="right" vertical="center"/>
    </xf>
    <xf numFmtId="0" fontId="78" fillId="0" borderId="0" xfId="0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 applyAlignment="1">
      <alignment vertical="center"/>
    </xf>
    <xf numFmtId="165" fontId="72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165" fontId="73" fillId="0" borderId="0" xfId="0" applyNumberFormat="1" applyFont="1" applyAlignment="1">
      <alignment vertical="center"/>
    </xf>
    <xf numFmtId="202" fontId="73" fillId="0" borderId="0" xfId="0" applyNumberFormat="1" applyFont="1" applyAlignment="1">
      <alignment vertical="center"/>
    </xf>
    <xf numFmtId="165" fontId="69" fillId="0" borderId="0" xfId="1700" applyFont="1" applyFill="1"/>
    <xf numFmtId="0" fontId="107" fillId="0" borderId="0" xfId="0" applyFont="1" applyAlignment="1">
      <alignment vertical="center" wrapText="1"/>
    </xf>
    <xf numFmtId="0" fontId="80" fillId="0" borderId="65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80" fillId="0" borderId="87" xfId="0" applyFont="1" applyBorder="1" applyAlignment="1">
      <alignment horizontal="center" vertical="center"/>
    </xf>
    <xf numFmtId="0" fontId="80" fillId="0" borderId="38" xfId="0" applyFont="1" applyBorder="1" applyAlignment="1">
      <alignment horizontal="center" vertical="center"/>
    </xf>
    <xf numFmtId="0" fontId="71" fillId="0" borderId="40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203" fontId="86" fillId="73" borderId="54" xfId="904" applyNumberFormat="1" applyFont="1" applyFill="1" applyBorder="1" applyAlignment="1">
      <alignment horizontal="left" vertical="center"/>
    </xf>
    <xf numFmtId="203" fontId="86" fillId="73" borderId="56" xfId="904" applyNumberFormat="1" applyFont="1" applyFill="1" applyBorder="1" applyAlignment="1">
      <alignment horizontal="left" vertical="center"/>
    </xf>
    <xf numFmtId="203" fontId="86" fillId="73" borderId="55" xfId="904" applyNumberFormat="1" applyFont="1" applyFill="1" applyBorder="1" applyAlignment="1">
      <alignment horizontal="center" vertical="center"/>
    </xf>
    <xf numFmtId="203" fontId="86" fillId="73" borderId="1" xfId="904" applyNumberFormat="1" applyFont="1" applyFill="1" applyBorder="1" applyAlignment="1">
      <alignment horizontal="center" vertical="center"/>
    </xf>
    <xf numFmtId="165" fontId="88" fillId="99" borderId="85" xfId="904" applyNumberFormat="1" applyFont="1" applyFill="1" applyBorder="1" applyAlignment="1">
      <alignment horizontal="center" vertical="center"/>
    </xf>
    <xf numFmtId="165" fontId="88" fillId="99" borderId="86" xfId="904" applyNumberFormat="1" applyFont="1" applyFill="1" applyBorder="1" applyAlignment="1">
      <alignment horizontal="center" vertical="center"/>
    </xf>
    <xf numFmtId="203" fontId="86" fillId="73" borderId="61" xfId="904" applyNumberFormat="1" applyFont="1" applyFill="1" applyBorder="1" applyAlignment="1">
      <alignment horizontal="left" vertical="center"/>
    </xf>
    <xf numFmtId="203" fontId="86" fillId="73" borderId="62" xfId="904" applyNumberFormat="1" applyFont="1" applyFill="1" applyBorder="1" applyAlignment="1">
      <alignment horizontal="left" vertical="center"/>
    </xf>
    <xf numFmtId="3" fontId="88" fillId="99" borderId="81" xfId="904" applyNumberFormat="1" applyFont="1" applyFill="1" applyBorder="1" applyAlignment="1">
      <alignment horizontal="center" vertical="center"/>
    </xf>
    <xf numFmtId="3" fontId="88" fillId="99" borderId="82" xfId="904" applyNumberFormat="1" applyFont="1" applyFill="1" applyBorder="1" applyAlignment="1">
      <alignment horizontal="center" vertical="center"/>
    </xf>
    <xf numFmtId="165" fontId="86" fillId="0" borderId="89" xfId="903" applyNumberFormat="1" applyFont="1" applyBorder="1" applyAlignment="1">
      <alignment horizontal="center"/>
    </xf>
    <xf numFmtId="0" fontId="86" fillId="97" borderId="70" xfId="0" applyFont="1" applyFill="1" applyBorder="1" applyAlignment="1">
      <alignment horizontal="left" vertical="center"/>
    </xf>
    <xf numFmtId="0" fontId="86" fillId="97" borderId="67" xfId="0" applyFont="1" applyFill="1" applyBorder="1" applyAlignment="1">
      <alignment horizontal="left" vertical="center"/>
    </xf>
    <xf numFmtId="0" fontId="86" fillId="97" borderId="68" xfId="0" applyFont="1" applyFill="1" applyBorder="1" applyAlignment="1">
      <alignment horizontal="center" vertical="center"/>
    </xf>
    <xf numFmtId="0" fontId="86" fillId="97" borderId="69" xfId="0" applyFont="1" applyFill="1" applyBorder="1" applyAlignment="1">
      <alignment horizontal="center" vertical="center"/>
    </xf>
  </cellXfs>
  <cellStyles count="1706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Hipervínculo" xfId="1704" builtinId="8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" xfId="1700" builtinId="6"/>
    <cellStyle name="Millares [0] 2" xfId="1703"/>
    <cellStyle name="Millares [0] 2 2" xfId="829"/>
    <cellStyle name="Millares [0] 3" xfId="1705"/>
    <cellStyle name="Millares 2" xfId="830"/>
    <cellStyle name="Millares 3" xfId="831"/>
    <cellStyle name="Millares 3 2" xfId="832"/>
    <cellStyle name="Millares 4" xfId="833"/>
    <cellStyle name="Millares 5" xfId="834"/>
    <cellStyle name="Millares 6" xfId="1702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6" xfId="1698"/>
    <cellStyle name="Normal 17" xfId="888"/>
    <cellStyle name="Normal 18" xfId="1697"/>
    <cellStyle name="Normal 2" xfId="889"/>
    <cellStyle name="Normal 2 10" xfId="890"/>
    <cellStyle name="Normal 2 11" xfId="891"/>
    <cellStyle name="Normal 2 12" xfId="892"/>
    <cellStyle name="Normal 2 13" xfId="1701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aje 2" xfId="1699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1179895977</c:v>
                </c:pt>
                <c:pt idx="1">
                  <c:v>143681174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0.127</c:v>
                </c:pt>
                <c:pt idx="1">
                  <c:v>0.73899999999999999</c:v>
                </c:pt>
                <c:pt idx="2">
                  <c:v>0.13100000000000001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99786</xdr:colOff>
      <xdr:row>3</xdr:row>
      <xdr:rowOff>18144</xdr:rowOff>
    </xdr:from>
    <xdr:to>
      <xdr:col>3</xdr:col>
      <xdr:colOff>595190</xdr:colOff>
      <xdr:row>23</xdr:row>
      <xdr:rowOff>143504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786" y="508001"/>
          <a:ext cx="2019404" cy="33910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45357</xdr:colOff>
      <xdr:row>2</xdr:row>
      <xdr:rowOff>154215</xdr:rowOff>
    </xdr:from>
    <xdr:to>
      <xdr:col>6</xdr:col>
      <xdr:colOff>661417</xdr:colOff>
      <xdr:row>23</xdr:row>
      <xdr:rowOff>8334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3357" y="480786"/>
          <a:ext cx="2140060" cy="32831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3\IV%20Trimestre\03%20An&#225;lisis%20Razonado\AA\Tablas%20an&#225;lisis%20razonado%20AA_4T23%20VF%2008.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II%20Trimestre\03%20An&#225;lisis%20Razonado\AA\Con%20Revalorizacion\Informaci&#243;n%20AA%20Analisis%20razonado%20092024%20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324838124</v>
          </cell>
        </row>
        <row r="7">
          <cell r="E7">
            <v>2054511436</v>
          </cell>
        </row>
        <row r="10">
          <cell r="E10">
            <v>265797147</v>
          </cell>
        </row>
        <row r="11">
          <cell r="E11">
            <v>1274661314</v>
          </cell>
        </row>
        <row r="12">
          <cell r="E12">
            <v>29573</v>
          </cell>
        </row>
        <row r="13">
          <cell r="E13">
            <v>838861526</v>
          </cell>
        </row>
        <row r="28">
          <cell r="D28">
            <v>229397451</v>
          </cell>
        </row>
        <row r="29">
          <cell r="D29">
            <v>-150000484</v>
          </cell>
        </row>
        <row r="30">
          <cell r="D30">
            <v>-149575627</v>
          </cell>
        </row>
        <row r="32">
          <cell r="D32">
            <v>179335341</v>
          </cell>
        </row>
        <row r="50">
          <cell r="C50">
            <v>640855854</v>
          </cell>
        </row>
        <row r="51">
          <cell r="C51">
            <v>-85361668</v>
          </cell>
        </row>
        <row r="52">
          <cell r="C52">
            <v>-76458923</v>
          </cell>
        </row>
        <row r="53">
          <cell r="C53">
            <v>-77689350</v>
          </cell>
        </row>
        <row r="54">
          <cell r="C54">
            <v>-12316346</v>
          </cell>
        </row>
        <row r="55">
          <cell r="C55">
            <v>-148430974</v>
          </cell>
        </row>
        <row r="57">
          <cell r="C57">
            <v>15927907</v>
          </cell>
        </row>
        <row r="58">
          <cell r="C58">
            <v>-48849432</v>
          </cell>
        </row>
        <row r="59">
          <cell r="C59">
            <v>2645936</v>
          </cell>
        </row>
        <row r="60">
          <cell r="C60">
            <v>-46357996</v>
          </cell>
        </row>
        <row r="62">
          <cell r="C62">
            <v>3336545</v>
          </cell>
        </row>
        <row r="65">
          <cell r="C65">
            <v>-33909237</v>
          </cell>
        </row>
        <row r="66">
          <cell r="C66">
            <v>0</v>
          </cell>
        </row>
        <row r="67">
          <cell r="C67">
            <v>1895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ivo"/>
      <sheetName val="Resultado"/>
      <sheetName val="Cambio Patrimonio"/>
      <sheetName val="Flujo"/>
      <sheetName val="Segmentos Aguas Andina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74875013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6893234</v>
          </cell>
          <cell r="E6">
            <v>0</v>
          </cell>
        </row>
        <row r="7">
          <cell r="B7" t="str">
            <v>Otros activos no financieros</v>
          </cell>
          <cell r="D7">
            <v>4518266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116506499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15152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12004728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9671759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224484651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224484651</v>
          </cell>
          <cell r="E14">
            <v>275004410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8254287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3598840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3766684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619883123</v>
          </cell>
          <cell r="E20">
            <v>231747713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1845573943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3781338</v>
          </cell>
          <cell r="E23">
            <v>4307072</v>
          </cell>
        </row>
        <row r="24">
          <cell r="B24" t="str">
            <v>Activos por impuestos diferidos</v>
          </cell>
          <cell r="C24">
            <v>15</v>
          </cell>
          <cell r="D24">
            <v>2373571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2521054835</v>
          </cell>
          <cell r="E26">
            <v>2148343319</v>
          </cell>
        </row>
        <row r="28">
          <cell r="B28" t="str">
            <v>TOTAL DE ACTIVOS</v>
          </cell>
          <cell r="D28">
            <v>2745539486</v>
          </cell>
          <cell r="E28">
            <v>2423347729</v>
          </cell>
        </row>
        <row r="30">
          <cell r="D30">
            <v>328742928</v>
          </cell>
          <cell r="E30">
            <v>0</v>
          </cell>
        </row>
      </sheetData>
      <sheetData sheetId="1">
        <row r="2">
          <cell r="B2" t="str">
            <v>PASIVOS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89431188</v>
          </cell>
          <cell r="E5">
            <v>155416801</v>
          </cell>
        </row>
        <row r="6">
          <cell r="B6" t="str">
            <v>Pasivos por arrendamientos</v>
          </cell>
          <cell r="C6">
            <v>14</v>
          </cell>
          <cell r="D6">
            <v>1749268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137431455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1171673</v>
          </cell>
          <cell r="E8">
            <v>1578553</v>
          </cell>
        </row>
        <row r="9">
          <cell r="B9" t="str">
            <v>Otras provisiones</v>
          </cell>
          <cell r="C9">
            <v>18</v>
          </cell>
          <cell r="D9">
            <v>790902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415270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5381109</v>
          </cell>
          <cell r="E11">
            <v>5955720</v>
          </cell>
        </row>
        <row r="12">
          <cell r="B12" t="str">
            <v>Otros pasivos no financieros</v>
          </cell>
          <cell r="C12">
            <v>20</v>
          </cell>
          <cell r="D12">
            <v>13516677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249887542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249887542</v>
          </cell>
          <cell r="E15">
            <v>361668126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1230124282</v>
          </cell>
          <cell r="E17">
            <v>1125060897</v>
          </cell>
        </row>
        <row r="18">
          <cell r="B18" t="str">
            <v>Pasivos por arrendamientos no corrientes</v>
          </cell>
          <cell r="C18">
            <v>14</v>
          </cell>
          <cell r="D18">
            <v>2272413</v>
          </cell>
          <cell r="E18">
            <v>2762179</v>
          </cell>
        </row>
        <row r="19">
          <cell r="B19" t="str">
            <v>Otras cuentas por pagar</v>
          </cell>
          <cell r="C19">
            <v>17</v>
          </cell>
          <cell r="D19">
            <v>1386972</v>
          </cell>
          <cell r="E19">
            <v>1181870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1881981</v>
          </cell>
          <cell r="E21">
            <v>1823379</v>
          </cell>
        </row>
        <row r="22">
          <cell r="B22" t="str">
            <v>Pasivo por impuestos diferidos</v>
          </cell>
          <cell r="C22">
            <v>15</v>
          </cell>
          <cell r="D22">
            <v>58473101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22906413</v>
          </cell>
          <cell r="E23">
            <v>22322555</v>
          </cell>
        </row>
        <row r="24">
          <cell r="B24" t="str">
            <v>Otros pasivos no financieros no corrientes</v>
          </cell>
          <cell r="C24">
            <v>20</v>
          </cell>
          <cell r="D24">
            <v>7923297</v>
          </cell>
          <cell r="E24">
            <v>7454645</v>
          </cell>
        </row>
        <row r="25">
          <cell r="B25" t="str">
            <v>TOTAL DE PASIVOS NO CORRIENTES</v>
          </cell>
          <cell r="D25">
            <v>1324968459</v>
          </cell>
          <cell r="E25">
            <v>1175540305</v>
          </cell>
        </row>
        <row r="27">
          <cell r="B27" t="str">
            <v>TOTAL PASIVOS</v>
          </cell>
          <cell r="D27">
            <v>1574856001</v>
          </cell>
          <cell r="E27">
            <v>1537208431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413907664</v>
          </cell>
          <cell r="E30">
            <v>411044222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443076432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D34">
            <v>1170649938</v>
          </cell>
          <cell r="E34">
            <v>886107830</v>
          </cell>
        </row>
        <row r="35">
          <cell r="B35" t="str">
            <v>Participaciones no controladoras</v>
          </cell>
          <cell r="C35">
            <v>22</v>
          </cell>
          <cell r="D35">
            <v>33547</v>
          </cell>
          <cell r="E35">
            <v>31468</v>
          </cell>
        </row>
        <row r="36">
          <cell r="B36" t="str">
            <v xml:space="preserve">PATRIMONIO TOTAL </v>
          </cell>
          <cell r="D36">
            <v>1170683485</v>
          </cell>
          <cell r="E36">
            <v>886139298</v>
          </cell>
        </row>
        <row r="38">
          <cell r="B38" t="str">
            <v>TOTAL DE PATRIMONIO Y PASIVOS</v>
          </cell>
          <cell r="D38">
            <v>2745539486</v>
          </cell>
          <cell r="E38">
            <v>2423347729</v>
          </cell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  <cell r="C2" t="str">
            <v>Nota</v>
          </cell>
          <cell r="D2">
            <v>45565</v>
          </cell>
          <cell r="E2">
            <v>45199</v>
          </cell>
          <cell r="F2" t="str">
            <v>01-07-2024
30-09-2024</v>
          </cell>
          <cell r="G2" t="str">
            <v>01-07-2023
30-09-2023</v>
          </cell>
        </row>
        <row r="3">
          <cell r="D3" t="str">
            <v>M$</v>
          </cell>
          <cell r="E3" t="str">
            <v>M$</v>
          </cell>
          <cell r="F3" t="str">
            <v>M$</v>
          </cell>
          <cell r="G3" t="str">
            <v>M$</v>
          </cell>
        </row>
        <row r="4">
          <cell r="B4" t="str">
            <v>Ingresos de actividades ordinarias</v>
          </cell>
          <cell r="C4">
            <v>25</v>
          </cell>
          <cell r="D4">
            <v>483042204</v>
          </cell>
          <cell r="E4">
            <v>475235519</v>
          </cell>
          <cell r="F4">
            <v>143355594</v>
          </cell>
          <cell r="G4">
            <v>138426249</v>
          </cell>
        </row>
        <row r="5">
          <cell r="B5" t="str">
            <v>Materias primas y consumibles utilizados</v>
          </cell>
          <cell r="D5">
            <v>-61764843</v>
          </cell>
          <cell r="E5">
            <v>-68295994</v>
          </cell>
          <cell r="F5">
            <v>-20594413</v>
          </cell>
          <cell r="G5">
            <v>-20051992</v>
          </cell>
        </row>
        <row r="6">
          <cell r="B6" t="str">
            <v>Gastos por beneficios a los empleados</v>
          </cell>
          <cell r="C6">
            <v>19</v>
          </cell>
          <cell r="D6">
            <v>-60663659</v>
          </cell>
          <cell r="E6">
            <v>-55636489</v>
          </cell>
          <cell r="F6">
            <v>-20698782</v>
          </cell>
          <cell r="G6">
            <v>-18922840</v>
          </cell>
        </row>
        <row r="7">
          <cell r="B7" t="str">
            <v>Gasto por depreciación y amortización</v>
          </cell>
          <cell r="C7" t="str">
            <v>11-13-14</v>
          </cell>
          <cell r="D7">
            <v>-60798649</v>
          </cell>
          <cell r="E7">
            <v>-56569056</v>
          </cell>
          <cell r="F7">
            <v>-20220051</v>
          </cell>
          <cell r="G7">
            <v>-19264529</v>
          </cell>
        </row>
        <row r="8">
          <cell r="B8" t="str">
            <v>Otros gastos, por naturaleza</v>
          </cell>
          <cell r="C8">
            <v>26</v>
          </cell>
          <cell r="D8">
            <v>-119028718</v>
          </cell>
          <cell r="E8">
            <v>-109290684</v>
          </cell>
          <cell r="F8">
            <v>-43327383</v>
          </cell>
          <cell r="G8">
            <v>-37162971</v>
          </cell>
        </row>
        <row r="9">
          <cell r="B9" t="str">
            <v>Otras ganancias (pérdidas)</v>
          </cell>
          <cell r="C9">
            <v>27</v>
          </cell>
          <cell r="D9">
            <v>2237093</v>
          </cell>
          <cell r="E9">
            <v>-1774124</v>
          </cell>
          <cell r="F9">
            <v>-264659</v>
          </cell>
          <cell r="G9">
            <v>117193</v>
          </cell>
        </row>
        <row r="10">
          <cell r="B10" t="str">
            <v>Ganancias de actividades operacionales</v>
          </cell>
          <cell r="D10">
            <v>183023428</v>
          </cell>
          <cell r="E10">
            <v>183669172</v>
          </cell>
          <cell r="F10">
            <v>38250306</v>
          </cell>
          <cell r="G10">
            <v>43141110</v>
          </cell>
        </row>
        <row r="11">
          <cell r="B11" t="str">
            <v>Ingresos financieros</v>
          </cell>
          <cell r="C11">
            <v>27</v>
          </cell>
          <cell r="D11">
            <v>7604978</v>
          </cell>
          <cell r="E11">
            <v>12898623</v>
          </cell>
          <cell r="F11">
            <v>2639168</v>
          </cell>
          <cell r="G11">
            <v>2246465</v>
          </cell>
        </row>
        <row r="12">
          <cell r="B12" t="str">
            <v>Costos financieros</v>
          </cell>
          <cell r="C12">
            <v>27</v>
          </cell>
          <cell r="D12">
            <v>-37232930</v>
          </cell>
          <cell r="E12">
            <v>-36680405</v>
          </cell>
          <cell r="F12">
            <v>-13300111</v>
          </cell>
          <cell r="G12">
            <v>-12415087</v>
          </cell>
        </row>
        <row r="13">
          <cell r="B13" t="str">
            <v>Ganancias por deterioro y reversos de pérdidas por deterioro (Pérdidas por deterioro) determinado de acuerdo con NIIF 9  sobre activos financieros</v>
          </cell>
          <cell r="C13">
            <v>24</v>
          </cell>
          <cell r="D13">
            <v>-6550791</v>
          </cell>
          <cell r="E13">
            <v>-10816911</v>
          </cell>
          <cell r="F13">
            <v>36709</v>
          </cell>
          <cell r="G13">
            <v>-2630571</v>
          </cell>
        </row>
        <row r="14">
          <cell r="B14" t="str">
            <v>Ganancias (pérdidas) de cambio en moneda extranjera</v>
          </cell>
          <cell r="C14">
            <v>28</v>
          </cell>
          <cell r="D14">
            <v>269429</v>
          </cell>
          <cell r="E14">
            <v>2515087</v>
          </cell>
          <cell r="F14">
            <v>-197403</v>
          </cell>
          <cell r="G14">
            <v>2013758</v>
          </cell>
        </row>
        <row r="15">
          <cell r="B15" t="str">
            <v>Resultado por unidades reajustables</v>
          </cell>
          <cell r="C15">
            <v>29</v>
          </cell>
          <cell r="D15">
            <v>-31381630</v>
          </cell>
          <cell r="E15">
            <v>-29886454</v>
          </cell>
          <cell r="F15">
            <v>-9917250</v>
          </cell>
          <cell r="G15">
            <v>-3125107</v>
          </cell>
        </row>
        <row r="16">
          <cell r="B16" t="str">
            <v>Participación en las ganancias (pérdidas) de asociadas y negocion conjuntos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Ganancia antes de impuestos</v>
          </cell>
          <cell r="D17">
            <v>115732484</v>
          </cell>
          <cell r="E17">
            <v>121699112</v>
          </cell>
          <cell r="F17">
            <v>17511419</v>
          </cell>
          <cell r="G17">
            <v>29230568</v>
          </cell>
        </row>
        <row r="18">
          <cell r="B18" t="str">
            <v>Gastos por impuestos a las ganancias</v>
          </cell>
          <cell r="C18">
            <v>15</v>
          </cell>
          <cell r="D18">
            <v>-24328925</v>
          </cell>
          <cell r="E18">
            <v>-25215487</v>
          </cell>
          <cell r="F18">
            <v>-2616166</v>
          </cell>
          <cell r="G18">
            <v>-7170908</v>
          </cell>
        </row>
        <row r="19">
          <cell r="B19" t="str">
            <v>Ganancia procedente de operaciones continuadas</v>
          </cell>
          <cell r="D19">
            <v>91403559</v>
          </cell>
          <cell r="E19">
            <v>96483625</v>
          </cell>
          <cell r="F19">
            <v>14895253</v>
          </cell>
          <cell r="G19">
            <v>22059660</v>
          </cell>
        </row>
        <row r="20">
          <cell r="B20" t="str">
            <v>Ganancia (pérdida) procedente de operaciones discontinuadas</v>
          </cell>
          <cell r="C20">
            <v>29</v>
          </cell>
          <cell r="D20">
            <v>0</v>
          </cell>
          <cell r="E20">
            <v>0</v>
          </cell>
          <cell r="F20">
            <v>0</v>
          </cell>
        </row>
        <row r="22">
          <cell r="B22" t="str">
            <v>Ganancia</v>
          </cell>
          <cell r="D22">
            <v>91403559</v>
          </cell>
          <cell r="E22">
            <v>96483625</v>
          </cell>
          <cell r="F22">
            <v>14895253</v>
          </cell>
          <cell r="G22">
            <v>22059660</v>
          </cell>
        </row>
        <row r="23">
          <cell r="B23" t="str">
            <v>Ganancia atribuible a</v>
          </cell>
        </row>
        <row r="24">
          <cell r="B24" t="str">
            <v>Ganancia atribuible a los propietarios de la controladora</v>
          </cell>
          <cell r="D24">
            <v>91402116</v>
          </cell>
          <cell r="E24">
            <v>96482376</v>
          </cell>
          <cell r="F24">
            <v>14895038</v>
          </cell>
          <cell r="G24">
            <v>22059594</v>
          </cell>
        </row>
        <row r="25">
          <cell r="B25" t="str">
            <v>Ganancia, atribuible a participaciones no controladora</v>
          </cell>
          <cell r="C25">
            <v>22</v>
          </cell>
          <cell r="D25">
            <v>1443</v>
          </cell>
          <cell r="E25">
            <v>1249</v>
          </cell>
          <cell r="F25">
            <v>215</v>
          </cell>
          <cell r="G25">
            <v>66</v>
          </cell>
        </row>
        <row r="26">
          <cell r="B26" t="str">
            <v xml:space="preserve">Ganancia </v>
          </cell>
          <cell r="D26">
            <v>91403559</v>
          </cell>
          <cell r="E26">
            <v>96483625</v>
          </cell>
          <cell r="F26">
            <v>14895253</v>
          </cell>
          <cell r="G26">
            <v>22059660</v>
          </cell>
        </row>
        <row r="27">
          <cell r="B27" t="str">
            <v xml:space="preserve">Ganancias por acción </v>
          </cell>
        </row>
        <row r="28">
          <cell r="B28" t="str">
            <v>Ganancias por acción básica en operaciones continuadas ($)</v>
          </cell>
          <cell r="C28">
            <v>31</v>
          </cell>
          <cell r="D28">
            <v>14.938000000000001</v>
          </cell>
          <cell r="E28">
            <v>15.768000000000001</v>
          </cell>
          <cell r="F28">
            <v>2.4350000000000005</v>
          </cell>
          <cell r="G28">
            <v>3.6050000000000004</v>
          </cell>
        </row>
        <row r="29">
          <cell r="B29" t="str">
            <v>Ganancias por acción básica ($)</v>
          </cell>
          <cell r="D29">
            <v>14.938000000000001</v>
          </cell>
          <cell r="E29">
            <v>15.768000000000001</v>
          </cell>
          <cell r="F29">
            <v>2.4350000000000005</v>
          </cell>
          <cell r="G29">
            <v>3.6050000000000004</v>
          </cell>
        </row>
        <row r="30">
          <cell r="F30">
            <v>69279.246511627905</v>
          </cell>
          <cell r="G30">
            <v>334236.27272727271</v>
          </cell>
        </row>
        <row r="31">
          <cell r="B31" t="str">
            <v>ESTADOS DE RESULTADOS INTEGRALES</v>
          </cell>
          <cell r="C31" t="str">
            <v>Nota</v>
          </cell>
          <cell r="D31">
            <v>45565</v>
          </cell>
          <cell r="E31">
            <v>45199</v>
          </cell>
          <cell r="F31" t="str">
            <v>01-07-2024
30-09-2024</v>
          </cell>
          <cell r="G31" t="str">
            <v>01-07-2023
30-09-2023</v>
          </cell>
        </row>
        <row r="32">
          <cell r="D32" t="str">
            <v>M$</v>
          </cell>
          <cell r="E32" t="str">
            <v>M$</v>
          </cell>
          <cell r="F32" t="str">
            <v>M$</v>
          </cell>
          <cell r="G32" t="str">
            <v>M$</v>
          </cell>
        </row>
        <row r="34">
          <cell r="B34" t="str">
            <v>Ganancia</v>
          </cell>
          <cell r="D34">
            <v>91403559</v>
          </cell>
          <cell r="E34">
            <v>96483625</v>
          </cell>
          <cell r="F34">
            <v>14895253</v>
          </cell>
          <cell r="G34">
            <v>22059660</v>
          </cell>
        </row>
        <row r="35">
          <cell r="B35" t="str">
            <v>OTRO RESULTADO INTEGRAL</v>
          </cell>
        </row>
        <row r="36">
          <cell r="B36" t="str">
            <v>Componentes de otro resultado integral que no se reclasificarán al resultado del período, antes de impuestos</v>
          </cell>
        </row>
        <row r="37">
          <cell r="B37" t="str">
            <v>Ganancias (pérdidas) por revaluación de terrenos</v>
          </cell>
          <cell r="D37">
            <v>390479260</v>
          </cell>
          <cell r="E37">
            <v>0</v>
          </cell>
          <cell r="F37">
            <v>390479260</v>
          </cell>
          <cell r="G37">
            <v>0</v>
          </cell>
        </row>
        <row r="38">
          <cell r="B38" t="str">
            <v>Ganancias (pérdidas) actuariales por planes de beneficios definidos</v>
          </cell>
          <cell r="C38">
            <v>19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Otro resultado integral que no se reclasificará al resultado del período, antes de impuestos</v>
          </cell>
          <cell r="D39">
            <v>390479260</v>
          </cell>
          <cell r="E39">
            <v>0</v>
          </cell>
          <cell r="F39">
            <v>390479260</v>
          </cell>
          <cell r="G39">
            <v>0</v>
          </cell>
        </row>
        <row r="41">
          <cell r="B41" t="str">
            <v>Componentes de otro resultado integral que se reclasificarán al resultado del período, antes de impuestos</v>
          </cell>
        </row>
        <row r="42">
          <cell r="B42" t="str">
            <v xml:space="preserve">Coberturas de flujo de efectivo </v>
          </cell>
        </row>
        <row r="43">
          <cell r="B43" t="str">
            <v>Ganancias (pérdidas) por coberturas de flujos de efectivo</v>
          </cell>
          <cell r="D43">
            <v>-4618074</v>
          </cell>
          <cell r="E43">
            <v>9428962</v>
          </cell>
          <cell r="F43">
            <v>-5103703</v>
          </cell>
          <cell r="G43">
            <v>4865651</v>
          </cell>
        </row>
        <row r="44">
          <cell r="B44" t="str">
            <v>Total otro resultado integral que se reclasificará al resultado del periodo</v>
          </cell>
          <cell r="D44">
            <v>-4618074</v>
          </cell>
          <cell r="E44">
            <v>9428962</v>
          </cell>
          <cell r="F44">
            <v>-5103703</v>
          </cell>
          <cell r="G44">
            <v>4865651</v>
          </cell>
        </row>
        <row r="46">
          <cell r="B46" t="str">
            <v>Otros componentes de otro resultado integral, antes de impuestos</v>
          </cell>
          <cell r="D46">
            <v>385861186</v>
          </cell>
          <cell r="E46">
            <v>9428962</v>
          </cell>
          <cell r="F46">
            <v>385375557</v>
          </cell>
          <cell r="G46">
            <v>4865651</v>
          </cell>
        </row>
        <row r="48">
          <cell r="B48" t="str">
            <v>Impuestos a las ganancias relativos a componentes de otro resultado integral que no se reclasificará al resultado del período</v>
          </cell>
        </row>
        <row r="49">
          <cell r="B49" t="str">
            <v>Impuesto a las ganancias (Pérdidas) relacionado con la revaluación de terrenos</v>
          </cell>
          <cell r="D49">
            <v>-105429400</v>
          </cell>
          <cell r="E49">
            <v>0</v>
          </cell>
          <cell r="F49">
            <v>-105429400</v>
          </cell>
          <cell r="G49">
            <v>0</v>
          </cell>
        </row>
        <row r="50">
          <cell r="B50" t="str">
            <v>Impuesto a las ganancias (Pérdidas) relacionado con planes de beneficios definidos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Total Impuestos a las ganancias relativos a componentes de otro resultado integral que no se reclasificará al resultado del período</v>
          </cell>
          <cell r="D51">
            <v>-105429400</v>
          </cell>
          <cell r="E51">
            <v>0</v>
          </cell>
          <cell r="F51">
            <v>-105429400</v>
          </cell>
          <cell r="G51">
            <v>0</v>
          </cell>
        </row>
        <row r="53">
          <cell r="B53" t="str">
            <v>Impuestos a las ganancias relativos a componentes de otro resultado integral que se reclasificará al resultado del período</v>
          </cell>
        </row>
        <row r="54">
          <cell r="B54" t="str">
            <v>Impuestos Ganancias (pérdidas) por coberturas de flujos de efectivo</v>
          </cell>
          <cell r="D54">
            <v>1246880</v>
          </cell>
          <cell r="E54">
            <v>-2545820</v>
          </cell>
          <cell r="F54">
            <v>1378000</v>
          </cell>
          <cell r="G54">
            <v>-1313726</v>
          </cell>
        </row>
        <row r="55">
          <cell r="B55" t="str">
            <v>Total Impuestos a las ganancias relativos a componentes de otro resultado integral que no se reclasificará al resultado del período</v>
          </cell>
          <cell r="D55">
            <v>1246880</v>
          </cell>
          <cell r="E55">
            <v>-2545820</v>
          </cell>
          <cell r="F55">
            <v>1378000</v>
          </cell>
          <cell r="G55">
            <v>-1313726</v>
          </cell>
        </row>
        <row r="57">
          <cell r="B57" t="str">
            <v xml:space="preserve">Total otro resultado integral </v>
          </cell>
          <cell r="D57">
            <v>281678666</v>
          </cell>
          <cell r="E57">
            <v>6883142</v>
          </cell>
          <cell r="F57">
            <v>-3725703</v>
          </cell>
          <cell r="G57">
            <v>3551925</v>
          </cell>
        </row>
        <row r="59">
          <cell r="B59" t="str">
            <v>TOTAL RESULTADO INTEGRAL</v>
          </cell>
          <cell r="D59">
            <v>373082225</v>
          </cell>
          <cell r="E59">
            <v>103366767</v>
          </cell>
          <cell r="F59">
            <v>11169550</v>
          </cell>
          <cell r="G59">
            <v>25611585</v>
          </cell>
        </row>
        <row r="60">
          <cell r="B60" t="str">
            <v>Resultado integral atribuible a:</v>
          </cell>
        </row>
        <row r="61">
          <cell r="B61" t="str">
            <v>Resultado integral atribuible a los propietarios de la controladora</v>
          </cell>
          <cell r="D61">
            <v>373080782</v>
          </cell>
          <cell r="E61">
            <v>103365518</v>
          </cell>
          <cell r="F61">
            <v>296219195</v>
          </cell>
          <cell r="G61">
            <v>25611519</v>
          </cell>
        </row>
        <row r="62">
          <cell r="B62" t="str">
            <v>Resultado integral atribuible a participaciones no controladoras</v>
          </cell>
          <cell r="D62">
            <v>1443</v>
          </cell>
          <cell r="E62">
            <v>1249</v>
          </cell>
          <cell r="F62">
            <v>215</v>
          </cell>
          <cell r="G62">
            <v>66</v>
          </cell>
        </row>
        <row r="63">
          <cell r="B63" t="str">
            <v>Resultado integral total</v>
          </cell>
          <cell r="D63">
            <v>373082225</v>
          </cell>
          <cell r="E63">
            <v>103366767</v>
          </cell>
          <cell r="F63">
            <v>296219410</v>
          </cell>
          <cell r="G63">
            <v>25611585</v>
          </cell>
        </row>
        <row r="65">
          <cell r="D65">
            <v>0</v>
          </cell>
        </row>
      </sheetData>
      <sheetData sheetId="3"/>
      <sheetData sheetId="4">
        <row r="3">
          <cell r="B3" t="str">
            <v>Estado de Flujo de efectivo directo</v>
          </cell>
          <cell r="C3" t="str">
            <v>Nota</v>
          </cell>
          <cell r="D3">
            <v>45565</v>
          </cell>
          <cell r="E3">
            <v>45199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579308070</v>
          </cell>
          <cell r="E5">
            <v>562603049</v>
          </cell>
        </row>
        <row r="6">
          <cell r="B6" t="str">
            <v>Cobros procedentes de regalías, cuotas, comisiones y otros ingresos de actividades ordinarias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E8">
            <v>0</v>
          </cell>
        </row>
        <row r="9">
          <cell r="B9" t="str">
            <v>Otros cobros por actividades de operación</v>
          </cell>
          <cell r="D9">
            <v>4132331</v>
          </cell>
          <cell r="E9">
            <v>3567178</v>
          </cell>
        </row>
        <row r="10">
          <cell r="B10" t="str">
            <v xml:space="preserve">Clases de cobros por actividades de operación </v>
          </cell>
          <cell r="D10">
            <v>583440401</v>
          </cell>
          <cell r="E10">
            <v>566170227</v>
          </cell>
        </row>
        <row r="11">
          <cell r="B11" t="str">
            <v>Pagos a proveedores por el suministro de bienes y servicios</v>
          </cell>
          <cell r="D11">
            <v>-214910780</v>
          </cell>
          <cell r="E11">
            <v>-203653004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-57137975</v>
          </cell>
          <cell r="E13">
            <v>-59161070</v>
          </cell>
        </row>
        <row r="14">
          <cell r="B14" t="str">
            <v>Pagos por primas y prestaciones, anualidades y otras obligaciones derivadas de las pólizas suscritas</v>
          </cell>
        </row>
        <row r="15">
          <cell r="B15" t="str">
            <v>Otros pagos por actividades de operación</v>
          </cell>
          <cell r="D15">
            <v>-45239341</v>
          </cell>
          <cell r="E15">
            <v>-50658390</v>
          </cell>
        </row>
        <row r="16">
          <cell r="B16" t="str">
            <v>Clases de pagos en efectivo procedentes de actividades de operación</v>
          </cell>
          <cell r="D16">
            <v>-317288096</v>
          </cell>
          <cell r="E16">
            <v>-313472464</v>
          </cell>
        </row>
        <row r="17">
          <cell r="B17" t="str">
            <v>Dividendos pagados - actividades de operación</v>
          </cell>
          <cell r="D17">
            <v>0</v>
          </cell>
          <cell r="E17">
            <v>0</v>
          </cell>
        </row>
        <row r="18">
          <cell r="B18" t="str">
            <v>Dividendos recibidos - actividades de operación</v>
          </cell>
          <cell r="D18">
            <v>0</v>
          </cell>
          <cell r="E18">
            <v>0</v>
          </cell>
        </row>
        <row r="19">
          <cell r="B19" t="str">
            <v>Intereses pagados - actividades de operación</v>
          </cell>
          <cell r="D19">
            <v>-29541220</v>
          </cell>
          <cell r="E19">
            <v>-32414633</v>
          </cell>
        </row>
        <row r="20">
          <cell r="B20" t="str">
            <v>Intereses recibidos - actividades de operación</v>
          </cell>
          <cell r="D20">
            <v>4747284</v>
          </cell>
          <cell r="E20">
            <v>13380268</v>
          </cell>
        </row>
        <row r="21">
          <cell r="B21" t="str">
            <v xml:space="preserve">Impuestos a las ganancias (pagados) </v>
          </cell>
          <cell r="D21">
            <v>-22640129</v>
          </cell>
          <cell r="E21">
            <v>-41995658</v>
          </cell>
        </row>
        <row r="22">
          <cell r="B22" t="str">
            <v>Otras entradas (salidas) de efectivo - actividades de operación</v>
          </cell>
          <cell r="D22">
            <v>-15479773</v>
          </cell>
          <cell r="E22">
            <v>-19065397</v>
          </cell>
        </row>
        <row r="23">
          <cell r="B23" t="str">
            <v>Flujos de efectivo procedentes de (utilizados en) actividades de operación</v>
          </cell>
          <cell r="D23">
            <v>203238467</v>
          </cell>
          <cell r="E23">
            <v>172602343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4056384</v>
          </cell>
          <cell r="E32">
            <v>4998196</v>
          </cell>
        </row>
        <row r="33">
          <cell r="B33" t="str">
            <v>Compras de propiedades, planta y equipo</v>
          </cell>
          <cell r="D33">
            <v>-142673331</v>
          </cell>
          <cell r="E33">
            <v>-102470131</v>
          </cell>
        </row>
        <row r="34">
          <cell r="B34" t="str">
            <v>Importes procedentes de ventas de activos intangibles</v>
          </cell>
          <cell r="E34">
            <v>0</v>
          </cell>
        </row>
        <row r="35">
          <cell r="B35" t="str">
            <v>Compras de activos intangibles</v>
          </cell>
          <cell r="D35">
            <v>-2856262</v>
          </cell>
          <cell r="E35">
            <v>-3091788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 - inversión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0</v>
          </cell>
          <cell r="E45">
            <v>0</v>
          </cell>
        </row>
        <row r="46">
          <cell r="B46" t="str">
            <v>Impuestos a las ganancias reembolsados (pagados) - inversión</v>
          </cell>
          <cell r="D46">
            <v>0</v>
          </cell>
          <cell r="E46">
            <v>0</v>
          </cell>
        </row>
        <row r="47">
          <cell r="B47" t="str">
            <v>Otras entradas (salidas) de efectivo - inversión</v>
          </cell>
          <cell r="D47">
            <v>0</v>
          </cell>
          <cell r="E47">
            <v>128022</v>
          </cell>
        </row>
        <row r="48">
          <cell r="B48" t="str">
            <v>Flujos de efectivo procedentes de (utilizados en) actividades de inversión</v>
          </cell>
          <cell r="D48">
            <v>-141473209</v>
          </cell>
          <cell r="E48">
            <v>-100435701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141124217</v>
          </cell>
          <cell r="E53">
            <v>8554804</v>
          </cell>
        </row>
        <row r="54">
          <cell r="B54" t="str">
            <v>Importes procedentes de préstamos de corto plazo</v>
          </cell>
          <cell r="D54">
            <v>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141124217</v>
          </cell>
          <cell r="E55">
            <v>8554804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-145472405</v>
          </cell>
          <cell r="E57">
            <v>-61747892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-90100417</v>
          </cell>
          <cell r="E61">
            <v>-52188662</v>
          </cell>
        </row>
        <row r="62">
          <cell r="B62" t="str">
            <v>Intereses pagados</v>
          </cell>
          <cell r="D62">
            <v>0</v>
          </cell>
          <cell r="E62">
            <v>0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-1598321</v>
          </cell>
          <cell r="E64">
            <v>0</v>
          </cell>
        </row>
        <row r="65">
          <cell r="B65" t="str">
            <v xml:space="preserve"> Flujos de efectivo procedentes de (utilizados en) actividades de financiación</v>
          </cell>
          <cell r="D65">
            <v>-96046926</v>
          </cell>
          <cell r="E65">
            <v>-105381750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-34281668</v>
          </cell>
          <cell r="E66">
            <v>-33215108</v>
          </cell>
        </row>
        <row r="67">
          <cell r="B67" t="str">
            <v>Efectos de la variación en la tasa de cambio sobre el efectivo y equivalentes al efectivo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</row>
        <row r="69">
          <cell r="B69" t="str">
            <v>Incremento (disminución) neto de efectivo y equivalentes al efectivo</v>
          </cell>
          <cell r="D69">
            <v>-34281668</v>
          </cell>
          <cell r="E69">
            <v>-33215108</v>
          </cell>
        </row>
        <row r="70">
          <cell r="B70" t="str">
            <v>Efectivo y equivalentes al efectivo al principio del periodo</v>
          </cell>
          <cell r="D70">
            <v>109156681</v>
          </cell>
          <cell r="E70">
            <v>179335341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74875013</v>
          </cell>
          <cell r="E71">
            <v>146120233</v>
          </cell>
        </row>
        <row r="72">
          <cell r="E72">
            <v>146120233</v>
          </cell>
        </row>
        <row r="73">
          <cell r="D73">
            <v>0</v>
          </cell>
          <cell r="E73">
            <v>0</v>
          </cell>
        </row>
        <row r="74">
          <cell r="E74">
            <v>109156681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453022525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2:I69"/>
  <sheetViews>
    <sheetView showGridLines="0" topLeftCell="A53" zoomScale="90" zoomScaleNormal="90" workbookViewId="0">
      <selection activeCell="O14" sqref="O14"/>
    </sheetView>
  </sheetViews>
  <sheetFormatPr baseColWidth="10" defaultColWidth="11.42578125" defaultRowHeight="12.75"/>
  <cols>
    <col min="1" max="1" width="10.42578125" style="422" customWidth="1"/>
    <col min="2" max="2" width="56.5703125" style="423" customWidth="1"/>
    <col min="3" max="3" width="7.5703125" style="423" customWidth="1"/>
    <col min="4" max="5" width="14.42578125" style="423" customWidth="1"/>
    <col min="6" max="6" width="8" style="423" customWidth="1"/>
    <col min="7" max="7" width="12.5703125" style="260" bestFit="1" customWidth="1"/>
    <col min="8" max="8" width="11.42578125" style="264"/>
    <col min="9" max="9" width="11.42578125" style="422"/>
    <col min="10" max="10" width="13" style="422" bestFit="1" customWidth="1"/>
    <col min="11" max="16384" width="11.42578125" style="422"/>
  </cols>
  <sheetData>
    <row r="2" spans="1:9" ht="21.75" customHeight="1" thickBot="1"/>
    <row r="3" spans="1:9" s="111" customFormat="1" ht="18" customHeight="1">
      <c r="A3" s="424"/>
      <c r="B3" s="462" t="s">
        <v>105</v>
      </c>
      <c r="C3" s="464" t="s">
        <v>106</v>
      </c>
      <c r="D3" s="50">
        <v>45565</v>
      </c>
      <c r="E3" s="51">
        <v>45291</v>
      </c>
      <c r="F3" s="109"/>
      <c r="G3" s="466" t="s">
        <v>237</v>
      </c>
      <c r="H3" s="467"/>
    </row>
    <row r="4" spans="1:9" s="111" customFormat="1" ht="18" customHeight="1">
      <c r="A4" s="110"/>
      <c r="B4" s="463"/>
      <c r="C4" s="465"/>
      <c r="D4" s="425" t="s">
        <v>8</v>
      </c>
      <c r="E4" s="426" t="s">
        <v>8</v>
      </c>
      <c r="F4" s="427"/>
      <c r="G4" s="280" t="s">
        <v>8</v>
      </c>
      <c r="H4" s="281" t="s">
        <v>70</v>
      </c>
    </row>
    <row r="5" spans="1:9" s="111" customFormat="1" ht="21" customHeight="1">
      <c r="A5" s="110"/>
      <c r="B5" s="428" t="s">
        <v>107</v>
      </c>
      <c r="C5" s="53"/>
      <c r="D5" s="54"/>
      <c r="E5" s="55"/>
      <c r="F5" s="110"/>
      <c r="G5" s="261"/>
      <c r="H5" s="282"/>
    </row>
    <row r="6" spans="1:9" s="111" customFormat="1" ht="21" customHeight="1">
      <c r="A6" s="110"/>
      <c r="B6" s="62" t="s">
        <v>108</v>
      </c>
      <c r="C6" s="53">
        <v>4</v>
      </c>
      <c r="D6" s="265">
        <f>+VLOOKUP(B6,[3]Activo!$B:$E,3,0)</f>
        <v>74875013</v>
      </c>
      <c r="E6" s="265">
        <f>+VLOOKUP(B6,[3]Activo!$B:$E,4,0)</f>
        <v>109156681</v>
      </c>
      <c r="G6" s="261">
        <f>ROUND(+(D6-E6),0)</f>
        <v>-34281668</v>
      </c>
      <c r="H6" s="282">
        <f>IFERROR(G6/E6,1)</f>
        <v>-0.31405927411809087</v>
      </c>
      <c r="I6" s="111" t="s">
        <v>394</v>
      </c>
    </row>
    <row r="7" spans="1:9" s="111" customFormat="1" ht="21" customHeight="1">
      <c r="A7" s="110"/>
      <c r="B7" s="62" t="s">
        <v>244</v>
      </c>
      <c r="C7" s="53">
        <v>11</v>
      </c>
      <c r="D7" s="265">
        <f>+VLOOKUP(B7,[3]Activo!$B:$E,3,0)</f>
        <v>6893234</v>
      </c>
      <c r="E7" s="265">
        <f>+VLOOKUP(B7,[3]Activo!$B:$E,4,0)</f>
        <v>0</v>
      </c>
      <c r="G7" s="261">
        <f t="shared" ref="G7:G14" si="0">ROUND(+(D7-E7),0)</f>
        <v>6893234</v>
      </c>
      <c r="H7" s="282">
        <f t="shared" ref="H7:H54" si="1">IFERROR(G7/E7,1)</f>
        <v>1</v>
      </c>
      <c r="I7" s="111" t="s">
        <v>395</v>
      </c>
    </row>
    <row r="8" spans="1:9" s="111" customFormat="1" ht="21" customHeight="1">
      <c r="A8" s="110"/>
      <c r="B8" s="62" t="s">
        <v>109</v>
      </c>
      <c r="C8" s="53">
        <v>10</v>
      </c>
      <c r="D8" s="265">
        <f>+VLOOKUP(B8,[3]Activo!$B:$E,3,0)</f>
        <v>4518266</v>
      </c>
      <c r="E8" s="265">
        <f>+VLOOKUP(B8,[3]Activo!$B:$E,4,0)</f>
        <v>7180555</v>
      </c>
      <c r="G8" s="261">
        <f t="shared" si="0"/>
        <v>-2662289</v>
      </c>
      <c r="H8" s="282">
        <f t="shared" si="1"/>
        <v>-0.37076368052330216</v>
      </c>
      <c r="I8" s="111" t="s">
        <v>396</v>
      </c>
    </row>
    <row r="9" spans="1:9" s="111" customFormat="1" ht="21" customHeight="1">
      <c r="A9" s="110"/>
      <c r="B9" s="62" t="s">
        <v>110</v>
      </c>
      <c r="C9" s="53">
        <v>5</v>
      </c>
      <c r="D9" s="265">
        <f>+VLOOKUP(B9,[3]Activo!$B:$E,3,0)</f>
        <v>116506499</v>
      </c>
      <c r="E9" s="265">
        <f>+VLOOKUP(B9,[3]Activo!$B:$E,4,0)</f>
        <v>132007468</v>
      </c>
      <c r="G9" s="261">
        <f t="shared" si="0"/>
        <v>-15500969</v>
      </c>
      <c r="H9" s="282">
        <f t="shared" si="1"/>
        <v>-0.1174249399283986</v>
      </c>
      <c r="I9" s="111" t="s">
        <v>397</v>
      </c>
    </row>
    <row r="10" spans="1:9" s="111" customFormat="1" ht="21" customHeight="1">
      <c r="A10" s="110"/>
      <c r="B10" s="62" t="s">
        <v>111</v>
      </c>
      <c r="C10" s="53">
        <v>6</v>
      </c>
      <c r="D10" s="265">
        <f>+VLOOKUP(B10,[3]Activo!$B:$E,3,0)</f>
        <v>15152</v>
      </c>
      <c r="E10" s="265">
        <f>+VLOOKUP(B10,[3]Activo!$B:$E,4,0)</f>
        <v>14381</v>
      </c>
      <c r="G10" s="261">
        <f t="shared" si="0"/>
        <v>771</v>
      </c>
      <c r="H10" s="282">
        <f t="shared" si="1"/>
        <v>5.3612405256936238E-2</v>
      </c>
    </row>
    <row r="11" spans="1:9" s="111" customFormat="1" ht="21" customHeight="1">
      <c r="A11" s="110"/>
      <c r="B11" s="62" t="s">
        <v>112</v>
      </c>
      <c r="C11" s="53">
        <v>7</v>
      </c>
      <c r="D11" s="265">
        <f>+VLOOKUP(B11,[3]Activo!$B:$E,3,0)</f>
        <v>12004728</v>
      </c>
      <c r="E11" s="265">
        <f>+VLOOKUP(B11,[3]Activo!$B:$E,4,0)</f>
        <v>12812483</v>
      </c>
      <c r="G11" s="261">
        <f t="shared" si="0"/>
        <v>-807755</v>
      </c>
      <c r="H11" s="282">
        <f t="shared" si="1"/>
        <v>-6.3044376332050553E-2</v>
      </c>
    </row>
    <row r="12" spans="1:9" s="111" customFormat="1" ht="21" customHeight="1" thickBot="1">
      <c r="A12" s="110"/>
      <c r="B12" s="62" t="s">
        <v>333</v>
      </c>
      <c r="C12" s="53">
        <v>8</v>
      </c>
      <c r="D12" s="265">
        <f>+VLOOKUP(B12,[3]Activo!$B:$E,3,0)</f>
        <v>9671759</v>
      </c>
      <c r="E12" s="265">
        <f>+VLOOKUP(B12,[3]Activo!$B:$E,4,0)</f>
        <v>13829428</v>
      </c>
      <c r="G12" s="261">
        <f t="shared" si="0"/>
        <v>-4157669</v>
      </c>
      <c r="H12" s="282">
        <f t="shared" si="1"/>
        <v>-0.30063925998963947</v>
      </c>
      <c r="I12" s="440"/>
    </row>
    <row r="13" spans="1:9" s="111" customFormat="1" ht="36" customHeight="1" thickBot="1">
      <c r="A13" s="110"/>
      <c r="B13" s="57" t="s">
        <v>113</v>
      </c>
      <c r="C13" s="421"/>
      <c r="D13" s="267">
        <f>SUM(D6:D12)</f>
        <v>224484651</v>
      </c>
      <c r="E13" s="268">
        <f>SUM(E6:E12)</f>
        <v>275000996</v>
      </c>
      <c r="F13" s="112"/>
      <c r="G13" s="283">
        <f>ROUND(+(D13-E13),0)</f>
        <v>-50516345</v>
      </c>
      <c r="H13" s="284">
        <f t="shared" si="1"/>
        <v>-0.18369513468962126</v>
      </c>
    </row>
    <row r="14" spans="1:9" s="111" customFormat="1" ht="21" customHeight="1" thickBot="1">
      <c r="A14" s="110"/>
      <c r="B14" s="62" t="s">
        <v>334</v>
      </c>
      <c r="C14" s="53">
        <v>9</v>
      </c>
      <c r="D14" s="265">
        <f>+VLOOKUP(B14,[3]Activo!$B:$E,3,0)</f>
        <v>0</v>
      </c>
      <c r="E14" s="265">
        <f>+VLOOKUP(B14,[3]Activo!$B:$E,4,0)</f>
        <v>3414</v>
      </c>
      <c r="G14" s="261">
        <f t="shared" si="0"/>
        <v>-3414</v>
      </c>
      <c r="H14" s="282">
        <f t="shared" si="1"/>
        <v>-1</v>
      </c>
    </row>
    <row r="15" spans="1:9" s="111" customFormat="1" ht="21" customHeight="1" thickBot="1">
      <c r="A15" s="110"/>
      <c r="B15" s="58" t="s">
        <v>114</v>
      </c>
      <c r="C15" s="421"/>
      <c r="D15" s="269">
        <f>+D13+D14</f>
        <v>224484651</v>
      </c>
      <c r="E15" s="270">
        <f>+E13+E14</f>
        <v>275004410</v>
      </c>
      <c r="F15" s="113"/>
      <c r="G15" s="283">
        <f>ROUND(+(D15-E15),0)</f>
        <v>-50519759</v>
      </c>
      <c r="H15" s="284">
        <f t="shared" si="1"/>
        <v>-0.18370526858096567</v>
      </c>
    </row>
    <row r="16" spans="1:9" s="111" customFormat="1" ht="21" customHeight="1">
      <c r="A16" s="110"/>
      <c r="B16" s="428" t="s">
        <v>279</v>
      </c>
      <c r="C16" s="59"/>
      <c r="D16" s="271"/>
      <c r="E16" s="272"/>
      <c r="F16" s="112"/>
      <c r="G16" s="261"/>
      <c r="H16" s="282"/>
    </row>
    <row r="17" spans="1:9" s="111" customFormat="1" ht="21" customHeight="1">
      <c r="A17" s="110"/>
      <c r="B17" s="62" t="s">
        <v>344</v>
      </c>
      <c r="C17" s="53">
        <v>11</v>
      </c>
      <c r="D17" s="265">
        <f>+VLOOKUP(B17,[3]Activo!$B:$E,3,0)</f>
        <v>8254287</v>
      </c>
      <c r="E17" s="265">
        <f>+VLOOKUP(B17,[3]Activo!$B:$E,4,0)</f>
        <v>7895863</v>
      </c>
      <c r="G17" s="261">
        <f t="shared" ref="G17:G26" si="2">ROUND(+(D17-E17),0)</f>
        <v>358424</v>
      </c>
      <c r="H17" s="282">
        <f t="shared" si="1"/>
        <v>4.5393898045090197E-2</v>
      </c>
    </row>
    <row r="18" spans="1:9" s="111" customFormat="1" ht="21" customHeight="1">
      <c r="A18" s="110"/>
      <c r="B18" s="62" t="s">
        <v>343</v>
      </c>
      <c r="C18" s="53">
        <v>10</v>
      </c>
      <c r="D18" s="265">
        <f>+VLOOKUP(B18,[3]Activo!$B:$E,3,0)</f>
        <v>3598840</v>
      </c>
      <c r="E18" s="265">
        <f>+VLOOKUP(B18,[3]Activo!$B:$E,4,0)</f>
        <v>1481897</v>
      </c>
      <c r="G18" s="261">
        <f t="shared" si="2"/>
        <v>2116943</v>
      </c>
      <c r="H18" s="282">
        <f t="shared" si="1"/>
        <v>1.4285358564056747</v>
      </c>
      <c r="I18" s="111" t="s">
        <v>398</v>
      </c>
    </row>
    <row r="19" spans="1:9" s="111" customFormat="1" ht="21" customHeight="1">
      <c r="A19" s="110"/>
      <c r="B19" s="62" t="s">
        <v>245</v>
      </c>
      <c r="C19" s="53">
        <v>5</v>
      </c>
      <c r="D19" s="265">
        <f>+VLOOKUP(B19,[3]Activo!$B:$E,3,0)</f>
        <v>3766684</v>
      </c>
      <c r="E19" s="265">
        <f>+VLOOKUP(B19,[3]Activo!$B:$E,4,0)</f>
        <v>3778724</v>
      </c>
      <c r="G19" s="261">
        <f t="shared" si="2"/>
        <v>-12040</v>
      </c>
      <c r="H19" s="282">
        <f t="shared" si="1"/>
        <v>-3.1862607589228532E-3</v>
      </c>
    </row>
    <row r="20" spans="1:9" s="111" customFormat="1" ht="21" customHeight="1">
      <c r="A20" s="110"/>
      <c r="B20" s="62" t="s">
        <v>303</v>
      </c>
      <c r="C20" s="53"/>
      <c r="D20" s="265">
        <f>+VLOOKUP(B20,[3]Activo!$B:$E,3,0)</f>
        <v>0</v>
      </c>
      <c r="E20" s="265">
        <f>+VLOOKUP(B20,[3]Activo!$B:$E,4,0)</f>
        <v>0</v>
      </c>
      <c r="G20" s="261"/>
      <c r="H20" s="282"/>
    </row>
    <row r="21" spans="1:9" s="111" customFormat="1" ht="21" customHeight="1">
      <c r="A21" s="110"/>
      <c r="B21" s="62" t="s">
        <v>115</v>
      </c>
      <c r="C21" s="53">
        <v>12</v>
      </c>
      <c r="D21" s="265">
        <f>+VLOOKUP(B21,[3]Activo!$B:$E,3,0)</f>
        <v>619883123</v>
      </c>
      <c r="E21" s="265">
        <f>+VLOOKUP(B21,[3]Activo!$B:$E,4,0)</f>
        <v>231747713</v>
      </c>
      <c r="G21" s="261">
        <f t="shared" si="2"/>
        <v>388135410</v>
      </c>
      <c r="H21" s="282">
        <f t="shared" si="1"/>
        <v>1.6748187284161031</v>
      </c>
      <c r="I21" s="111" t="s">
        <v>399</v>
      </c>
    </row>
    <row r="22" spans="1:9" s="111" customFormat="1" ht="21" customHeight="1">
      <c r="A22" s="110"/>
      <c r="B22" s="62" t="s">
        <v>116</v>
      </c>
      <c r="C22" s="53">
        <v>13</v>
      </c>
      <c r="D22" s="265">
        <f>+VLOOKUP(B22,[3]Activo!$B:$E,3,0)</f>
        <v>33823049</v>
      </c>
      <c r="E22" s="265">
        <f>+VLOOKUP(B22,[3]Activo!$B:$E,4,0)</f>
        <v>33823049</v>
      </c>
      <c r="G22" s="261">
        <f t="shared" si="2"/>
        <v>0</v>
      </c>
      <c r="H22" s="282">
        <f t="shared" si="1"/>
        <v>0</v>
      </c>
    </row>
    <row r="23" spans="1:9" s="111" customFormat="1" ht="21" customHeight="1">
      <c r="A23" s="110"/>
      <c r="B23" s="62" t="s">
        <v>335</v>
      </c>
      <c r="C23" s="53">
        <v>14</v>
      </c>
      <c r="D23" s="265">
        <f>+VLOOKUP(B23,[3]Activo!$B:$E,3,0)</f>
        <v>1845573943</v>
      </c>
      <c r="E23" s="265">
        <f>+VLOOKUP(B23,[3]Activo!$B:$E,4,0)</f>
        <v>1805370932</v>
      </c>
      <c r="G23" s="261">
        <f t="shared" si="2"/>
        <v>40203011</v>
      </c>
      <c r="H23" s="282">
        <f t="shared" si="1"/>
        <v>2.2268560043482523E-2</v>
      </c>
      <c r="I23" s="111" t="s">
        <v>400</v>
      </c>
    </row>
    <row r="24" spans="1:9" s="111" customFormat="1" ht="21" customHeight="1">
      <c r="A24" s="110"/>
      <c r="B24" s="62" t="s">
        <v>290</v>
      </c>
      <c r="C24" s="53">
        <v>15</v>
      </c>
      <c r="D24" s="265">
        <f>+VLOOKUP(B24,[3]Activo!$B:$E,3,0)</f>
        <v>3781338</v>
      </c>
      <c r="E24" s="265">
        <f>+VLOOKUP(B24,[3]Activo!$B:$E,4,0)</f>
        <v>4307072</v>
      </c>
      <c r="G24" s="261">
        <f t="shared" ref="G24" si="3">ROUND(+(D24-E24),0)</f>
        <v>-525734</v>
      </c>
      <c r="H24" s="282">
        <f t="shared" ref="H24" si="4">IFERROR(G24/E24,1)</f>
        <v>-0.12206296992481203</v>
      </c>
    </row>
    <row r="25" spans="1:9" s="111" customFormat="1" ht="21" customHeight="1" thickBot="1">
      <c r="A25" s="110"/>
      <c r="B25" s="62" t="s">
        <v>336</v>
      </c>
      <c r="C25" s="53">
        <v>16</v>
      </c>
      <c r="D25" s="265">
        <f>+VLOOKUP(B25,[3]Activo!$B:$E,3,0)</f>
        <v>2373571</v>
      </c>
      <c r="E25" s="265">
        <f>+VLOOKUP(B25,[3]Activo!$B:$E,4,0)</f>
        <v>59938069</v>
      </c>
      <c r="G25" s="261">
        <f t="shared" si="2"/>
        <v>-57564498</v>
      </c>
      <c r="H25" s="282">
        <f t="shared" si="1"/>
        <v>-0.9603996084692018</v>
      </c>
      <c r="I25" s="440"/>
    </row>
    <row r="26" spans="1:9" s="111" customFormat="1" ht="21" customHeight="1" thickBot="1">
      <c r="A26" s="110"/>
      <c r="B26" s="420" t="s">
        <v>117</v>
      </c>
      <c r="C26" s="421"/>
      <c r="D26" s="267">
        <f>SUM(D17:D25)</f>
        <v>2521054835</v>
      </c>
      <c r="E26" s="268">
        <f>SUM(E17:E25)</f>
        <v>2148343319</v>
      </c>
      <c r="F26" s="112"/>
      <c r="G26" s="283">
        <f t="shared" si="2"/>
        <v>372711516</v>
      </c>
      <c r="H26" s="284">
        <f t="shared" si="1"/>
        <v>0.17348787444899072</v>
      </c>
    </row>
    <row r="27" spans="1:9" s="110" customFormat="1" ht="11.25" customHeight="1" thickBot="1">
      <c r="A27" s="429"/>
      <c r="B27" s="62"/>
      <c r="C27" s="56"/>
      <c r="D27" s="265"/>
      <c r="E27" s="266"/>
      <c r="F27" s="111"/>
      <c r="G27" s="261"/>
      <c r="H27" s="282"/>
    </row>
    <row r="28" spans="1:9" s="111" customFormat="1" ht="21" customHeight="1" thickBot="1">
      <c r="B28" s="430" t="s">
        <v>246</v>
      </c>
      <c r="C28" s="60"/>
      <c r="D28" s="273">
        <f>+D15+D26</f>
        <v>2745539486</v>
      </c>
      <c r="E28" s="274">
        <f>+E15+E26</f>
        <v>2423347729</v>
      </c>
      <c r="F28" s="112"/>
      <c r="G28" s="283">
        <f>ROUND(+(D28-E28),0)</f>
        <v>322191757</v>
      </c>
      <c r="H28" s="284">
        <f t="shared" si="1"/>
        <v>0.13295316769622376</v>
      </c>
    </row>
    <row r="29" spans="1:9">
      <c r="B29" s="431"/>
      <c r="C29" s="431"/>
      <c r="D29" s="114"/>
      <c r="E29" s="114"/>
      <c r="F29" s="114"/>
      <c r="G29" s="263"/>
      <c r="H29" s="282"/>
    </row>
    <row r="30" spans="1:9" ht="13.5" thickBot="1">
      <c r="B30" s="431"/>
      <c r="C30" s="431"/>
      <c r="D30" s="114"/>
      <c r="E30" s="114"/>
      <c r="F30" s="114"/>
      <c r="G30" s="263"/>
      <c r="H30" s="282"/>
    </row>
    <row r="31" spans="1:9" s="111" customFormat="1" ht="20.25" customHeight="1">
      <c r="A31" s="424"/>
      <c r="B31" s="462" t="s">
        <v>118</v>
      </c>
      <c r="C31" s="464" t="s">
        <v>106</v>
      </c>
      <c r="D31" s="50">
        <f>+D3</f>
        <v>45565</v>
      </c>
      <c r="E31" s="51">
        <f>+E3</f>
        <v>45291</v>
      </c>
      <c r="G31" s="261"/>
      <c r="H31" s="282"/>
    </row>
    <row r="32" spans="1:9" s="111" customFormat="1" ht="18" customHeight="1">
      <c r="A32" s="110"/>
      <c r="B32" s="463"/>
      <c r="C32" s="465"/>
      <c r="D32" s="425" t="s">
        <v>8</v>
      </c>
      <c r="E32" s="426" t="s">
        <v>8</v>
      </c>
      <c r="G32" s="261"/>
      <c r="H32" s="282"/>
    </row>
    <row r="33" spans="1:9" s="111" customFormat="1" ht="18" customHeight="1">
      <c r="A33" s="110"/>
      <c r="B33" s="428" t="s">
        <v>119</v>
      </c>
      <c r="C33" s="432"/>
      <c r="D33" s="54"/>
      <c r="E33" s="55"/>
      <c r="G33" s="261"/>
      <c r="H33" s="282"/>
    </row>
    <row r="34" spans="1:9" s="110" customFormat="1" ht="18" customHeight="1">
      <c r="B34" s="62" t="s">
        <v>347</v>
      </c>
      <c r="C34" s="53">
        <v>17</v>
      </c>
      <c r="D34" s="265">
        <f>+VLOOKUP(B34,[3]Pasivo!$B:$E,3,0)</f>
        <v>89431188</v>
      </c>
      <c r="E34" s="265">
        <f>+VLOOKUP(B34,[3]Pasivo!$B:$E,4,0)</f>
        <v>155416801</v>
      </c>
      <c r="F34" s="111"/>
      <c r="G34" s="261">
        <f t="shared" ref="G34:G42" si="5">ROUND(+(D34-E34),0)</f>
        <v>-65985613</v>
      </c>
      <c r="H34" s="282">
        <f t="shared" si="1"/>
        <v>-0.42457194187132957</v>
      </c>
      <c r="I34" s="110" t="s">
        <v>401</v>
      </c>
    </row>
    <row r="35" spans="1:9" s="110" customFormat="1" ht="18" customHeight="1">
      <c r="B35" s="62" t="s">
        <v>291</v>
      </c>
      <c r="C35" s="53">
        <v>15</v>
      </c>
      <c r="D35" s="265">
        <f>+VLOOKUP(B35,[3]Pasivo!$B:$E,3,0)</f>
        <v>1749268</v>
      </c>
      <c r="E35" s="265">
        <f>+VLOOKUP(B35,[3]Pasivo!$B:$E,4,0)</f>
        <v>1752912</v>
      </c>
      <c r="F35" s="111"/>
      <c r="G35" s="261">
        <f t="shared" ref="G35" si="6">ROUND(+(D35-E35),0)</f>
        <v>-3644</v>
      </c>
      <c r="H35" s="282">
        <f t="shared" ref="H35" si="7">IFERROR(G35/E35,1)</f>
        <v>-2.0788265469116533E-3</v>
      </c>
    </row>
    <row r="36" spans="1:9" s="110" customFormat="1" ht="18" customHeight="1">
      <c r="B36" s="62" t="s">
        <v>337</v>
      </c>
      <c r="C36" s="53">
        <v>18</v>
      </c>
      <c r="D36" s="265">
        <f>+VLOOKUP(B36,[3]Pasivo!$B:$E,3,0)</f>
        <v>137431455</v>
      </c>
      <c r="E36" s="265">
        <f>+VLOOKUP(B36,[3]Pasivo!$B:$E,4,0)</f>
        <v>177288051</v>
      </c>
      <c r="F36" s="111"/>
      <c r="G36" s="261">
        <f t="shared" si="5"/>
        <v>-39856596</v>
      </c>
      <c r="H36" s="282">
        <f t="shared" si="1"/>
        <v>-0.22481264684894076</v>
      </c>
      <c r="I36" s="111" t="s">
        <v>402</v>
      </c>
    </row>
    <row r="37" spans="1:9" s="110" customFormat="1" ht="18" customHeight="1">
      <c r="B37" s="62" t="s">
        <v>120</v>
      </c>
      <c r="C37" s="53">
        <v>6</v>
      </c>
      <c r="D37" s="265">
        <f>+VLOOKUP(B37,[3]Pasivo!$B:$E,3,0)</f>
        <v>1171673</v>
      </c>
      <c r="E37" s="265">
        <f>+VLOOKUP(B37,[3]Pasivo!$B:$E,4,0)</f>
        <v>1578553</v>
      </c>
      <c r="F37" s="111"/>
      <c r="G37" s="261">
        <f t="shared" si="5"/>
        <v>-406880</v>
      </c>
      <c r="H37" s="282">
        <f t="shared" si="1"/>
        <v>-0.25775504528514404</v>
      </c>
    </row>
    <row r="38" spans="1:9" s="110" customFormat="1" ht="18" customHeight="1">
      <c r="B38" s="62" t="s">
        <v>124</v>
      </c>
      <c r="C38" s="53">
        <v>19</v>
      </c>
      <c r="D38" s="265">
        <f>+VLOOKUP(B38,[3]Pasivo!$B:$E,3,0)</f>
        <v>790902</v>
      </c>
      <c r="E38" s="265">
        <f>+VLOOKUP(B38,[3]Pasivo!$B:$E,4,0)</f>
        <v>735780</v>
      </c>
      <c r="F38" s="111"/>
      <c r="G38" s="261">
        <f t="shared" si="5"/>
        <v>55122</v>
      </c>
      <c r="H38" s="282">
        <f t="shared" si="1"/>
        <v>7.4916415232814157E-2</v>
      </c>
    </row>
    <row r="39" spans="1:9" s="110" customFormat="1" ht="18" customHeight="1">
      <c r="B39" s="62" t="s">
        <v>121</v>
      </c>
      <c r="C39" s="53">
        <v>8</v>
      </c>
      <c r="D39" s="265">
        <f>+VLOOKUP(B39,[3]Pasivo!$B:$E,3,0)</f>
        <v>415270</v>
      </c>
      <c r="E39" s="265">
        <f>+VLOOKUP(B39,[3]Pasivo!$B:$E,4,0)</f>
        <v>240748</v>
      </c>
      <c r="F39" s="111"/>
      <c r="G39" s="261">
        <f t="shared" si="5"/>
        <v>174522</v>
      </c>
      <c r="H39" s="282">
        <f t="shared" si="1"/>
        <v>0.72491567946566537</v>
      </c>
    </row>
    <row r="40" spans="1:9" s="110" customFormat="1" ht="18" customHeight="1">
      <c r="B40" s="62" t="s">
        <v>338</v>
      </c>
      <c r="C40" s="53">
        <v>20</v>
      </c>
      <c r="D40" s="265">
        <f>+VLOOKUP(B40,[3]Pasivo!$B:$E,3,0)</f>
        <v>5381109</v>
      </c>
      <c r="E40" s="265">
        <f>+VLOOKUP(B40,[3]Pasivo!$B:$E,4,0)</f>
        <v>5955720</v>
      </c>
      <c r="F40" s="111"/>
      <c r="G40" s="261">
        <f t="shared" si="5"/>
        <v>-574611</v>
      </c>
      <c r="H40" s="282">
        <f t="shared" si="1"/>
        <v>-9.6480526283975743E-2</v>
      </c>
    </row>
    <row r="41" spans="1:9" s="110" customFormat="1" ht="18" customHeight="1" thickBot="1">
      <c r="B41" s="62" t="s">
        <v>236</v>
      </c>
      <c r="C41" s="53">
        <v>21</v>
      </c>
      <c r="D41" s="265">
        <f>+VLOOKUP(B41,[3]Pasivo!$B:$E,3,0)</f>
        <v>13516677</v>
      </c>
      <c r="E41" s="265">
        <f>+VLOOKUP(B41,[3]Pasivo!$B:$E,4,0)</f>
        <v>18699561</v>
      </c>
      <c r="F41" s="111"/>
      <c r="G41" s="261">
        <f t="shared" si="5"/>
        <v>-5182884</v>
      </c>
      <c r="H41" s="282">
        <f t="shared" si="1"/>
        <v>-0.27716607892559619</v>
      </c>
      <c r="I41" s="110" t="s">
        <v>403</v>
      </c>
    </row>
    <row r="42" spans="1:9" s="111" customFormat="1" ht="39" thickBot="1">
      <c r="A42" s="110"/>
      <c r="B42" s="57" t="s">
        <v>280</v>
      </c>
      <c r="C42" s="421"/>
      <c r="D42" s="267">
        <f>SUM(D34:D41)</f>
        <v>249887542</v>
      </c>
      <c r="E42" s="268">
        <f>SUM(E34:E41)</f>
        <v>361668126</v>
      </c>
      <c r="G42" s="283">
        <f t="shared" si="5"/>
        <v>-111780584</v>
      </c>
      <c r="H42" s="284">
        <f t="shared" si="1"/>
        <v>-0.30906949206798501</v>
      </c>
    </row>
    <row r="43" spans="1:9" s="110" customFormat="1" ht="21.75" customHeight="1" thickBot="1">
      <c r="B43" s="62" t="s">
        <v>339</v>
      </c>
      <c r="C43" s="56"/>
      <c r="D43" s="265">
        <f>+VLOOKUP(B43,[3]Pasivo!$B:$E,3,0)</f>
        <v>0</v>
      </c>
      <c r="E43" s="265">
        <f>+VLOOKUP(B43,[3]Pasivo!$B:$E,4,0)</f>
        <v>0</v>
      </c>
      <c r="F43" s="111"/>
      <c r="G43" s="261">
        <f t="shared" ref="G43" si="8">ROUND(+(D43-E43),0)</f>
        <v>0</v>
      </c>
      <c r="H43" s="282">
        <f t="shared" ref="H43" si="9">IFERROR(G43/E43,1)</f>
        <v>1</v>
      </c>
    </row>
    <row r="44" spans="1:9" s="111" customFormat="1" ht="21" customHeight="1" thickBot="1">
      <c r="A44" s="110"/>
      <c r="B44" s="420" t="s">
        <v>122</v>
      </c>
      <c r="C44" s="433"/>
      <c r="D44" s="267">
        <f>+D42+D43</f>
        <v>249887542</v>
      </c>
      <c r="E44" s="268">
        <f>+E42+E43</f>
        <v>361668126</v>
      </c>
      <c r="G44" s="283">
        <f>ROUND(+(D44-E44),0)</f>
        <v>-111780584</v>
      </c>
      <c r="H44" s="284">
        <f t="shared" si="1"/>
        <v>-0.30906949206798501</v>
      </c>
    </row>
    <row r="45" spans="1:9" s="110" customFormat="1" ht="21" customHeight="1">
      <c r="B45" s="428" t="s">
        <v>123</v>
      </c>
      <c r="C45" s="432"/>
      <c r="D45" s="265"/>
      <c r="E45" s="266"/>
      <c r="F45" s="111"/>
      <c r="G45" s="261"/>
      <c r="H45" s="282"/>
    </row>
    <row r="46" spans="1:9" s="110" customFormat="1" ht="18" customHeight="1">
      <c r="B46" s="62" t="s">
        <v>346</v>
      </c>
      <c r="C46" s="53">
        <v>17</v>
      </c>
      <c r="D46" s="265">
        <f>+VLOOKUP(B46,[3]Pasivo!$B:$E,3,0)</f>
        <v>1230124282</v>
      </c>
      <c r="E46" s="265">
        <f>+VLOOKUP(B46,[3]Pasivo!$B:$E,4,0)</f>
        <v>1125060897</v>
      </c>
      <c r="F46" s="111"/>
      <c r="G46" s="261">
        <f t="shared" ref="G46:G54" si="10">ROUND(+(D46-E46),0)</f>
        <v>105063385</v>
      </c>
      <c r="H46" s="282">
        <f t="shared" si="1"/>
        <v>9.3384620583786937E-2</v>
      </c>
      <c r="I46" s="110" t="s">
        <v>404</v>
      </c>
    </row>
    <row r="47" spans="1:9" s="110" customFormat="1" ht="18" customHeight="1">
      <c r="B47" s="62" t="s">
        <v>348</v>
      </c>
      <c r="C47" s="53">
        <v>15</v>
      </c>
      <c r="D47" s="265">
        <f>+VLOOKUP(B47,[3]Pasivo!$B:$E,3,0)</f>
        <v>2272413</v>
      </c>
      <c r="E47" s="265">
        <f>+VLOOKUP(B47,[3]Pasivo!$B:$E,4,0)</f>
        <v>2762179</v>
      </c>
      <c r="F47" s="111"/>
      <c r="G47" s="261">
        <f t="shared" ref="G47" si="11">ROUND(+(D47-E47),0)</f>
        <v>-489766</v>
      </c>
      <c r="H47" s="282">
        <f t="shared" ref="H47" si="12">IFERROR(G47/E47,1)</f>
        <v>-0.17731146316006313</v>
      </c>
    </row>
    <row r="48" spans="1:9" s="110" customFormat="1" ht="18" customHeight="1">
      <c r="B48" s="62" t="s">
        <v>126</v>
      </c>
      <c r="C48" s="53">
        <v>18</v>
      </c>
      <c r="D48" s="265">
        <f>+VLOOKUP(B48,[3]Pasivo!$B:$E,3,0)</f>
        <v>1386972</v>
      </c>
      <c r="E48" s="265">
        <f>+VLOOKUP(B48,[3]Pasivo!$B:$E,4,0)</f>
        <v>1181870</v>
      </c>
      <c r="F48" s="111"/>
      <c r="G48" s="261">
        <f t="shared" si="10"/>
        <v>205102</v>
      </c>
      <c r="H48" s="282">
        <f t="shared" si="1"/>
        <v>0.17354023708191257</v>
      </c>
    </row>
    <row r="49" spans="1:8" s="110" customFormat="1" ht="18" customHeight="1">
      <c r="B49" s="62" t="s">
        <v>345</v>
      </c>
      <c r="C49" s="53"/>
      <c r="D49" s="265">
        <f>+VLOOKUP(B49,[3]Pasivo!$B:$E,3,0)</f>
        <v>0</v>
      </c>
      <c r="E49" s="265">
        <f>+VLOOKUP(B49,[3]Pasivo!$B:$E,4,0)</f>
        <v>0</v>
      </c>
      <c r="F49" s="111"/>
      <c r="G49" s="261">
        <f t="shared" ref="G49" si="13">ROUND(+(D49-E49),0)</f>
        <v>0</v>
      </c>
      <c r="H49" s="282">
        <f t="shared" ref="H49" si="14">IFERROR(G49/E49,1)</f>
        <v>1</v>
      </c>
    </row>
    <row r="50" spans="1:8" s="110" customFormat="1" ht="18" customHeight="1">
      <c r="B50" s="62" t="s">
        <v>350</v>
      </c>
      <c r="C50" s="53">
        <v>19</v>
      </c>
      <c r="D50" s="265">
        <f>+VLOOKUP(B50,[3]Pasivo!$B:$E,3,0)</f>
        <v>1881981</v>
      </c>
      <c r="E50" s="265">
        <f>+VLOOKUP(B50,[3]Pasivo!$B:$E,4,0)</f>
        <v>1823379</v>
      </c>
      <c r="F50" s="111"/>
      <c r="G50" s="261">
        <f t="shared" si="10"/>
        <v>58602</v>
      </c>
      <c r="H50" s="282">
        <f t="shared" si="1"/>
        <v>3.2139231613394693E-2</v>
      </c>
    </row>
    <row r="51" spans="1:8" s="110" customFormat="1" ht="18" customHeight="1">
      <c r="B51" s="62" t="s">
        <v>125</v>
      </c>
      <c r="C51" s="53">
        <v>16</v>
      </c>
      <c r="D51" s="265">
        <f>+VLOOKUP(B51,[3]Pasivo!$B:$E,3,0)</f>
        <v>58473101</v>
      </c>
      <c r="E51" s="265">
        <f>+VLOOKUP(B51,[3]Pasivo!$B:$E,4,0)</f>
        <v>14934780</v>
      </c>
      <c r="F51" s="111"/>
      <c r="G51" s="261">
        <f t="shared" si="10"/>
        <v>43538321</v>
      </c>
      <c r="H51" s="282">
        <f t="shared" si="1"/>
        <v>2.9152301540431127</v>
      </c>
    </row>
    <row r="52" spans="1:8" s="110" customFormat="1" ht="18" customHeight="1">
      <c r="B52" s="62" t="s">
        <v>340</v>
      </c>
      <c r="C52" s="53">
        <v>20</v>
      </c>
      <c r="D52" s="265">
        <f>+VLOOKUP(B52,[3]Pasivo!$B:$E,3,0)</f>
        <v>22906413</v>
      </c>
      <c r="E52" s="265">
        <f>+VLOOKUP(B52,[3]Pasivo!$B:$E,4,0)</f>
        <v>22322555</v>
      </c>
      <c r="F52" s="111"/>
      <c r="G52" s="261">
        <f t="shared" si="10"/>
        <v>583858</v>
      </c>
      <c r="H52" s="282">
        <f t="shared" si="1"/>
        <v>2.6155518487915027E-2</v>
      </c>
    </row>
    <row r="53" spans="1:8" s="110" customFormat="1" ht="18" customHeight="1" thickBot="1">
      <c r="B53" s="62" t="s">
        <v>349</v>
      </c>
      <c r="C53" s="53">
        <v>21</v>
      </c>
      <c r="D53" s="265">
        <f>+VLOOKUP(B53,[3]Pasivo!$B:$E,3,0)</f>
        <v>7923297</v>
      </c>
      <c r="E53" s="265">
        <f>+VLOOKUP(B53,[3]Pasivo!$B:$E,4,0)</f>
        <v>7454645</v>
      </c>
      <c r="F53" s="111"/>
      <c r="G53" s="261">
        <f t="shared" si="10"/>
        <v>468652</v>
      </c>
      <c r="H53" s="282">
        <f t="shared" si="1"/>
        <v>6.2867111713569193E-2</v>
      </c>
    </row>
    <row r="54" spans="1:8" s="110" customFormat="1" ht="21" customHeight="1" thickBot="1">
      <c r="B54" s="420" t="s">
        <v>247</v>
      </c>
      <c r="C54" s="433"/>
      <c r="D54" s="267">
        <f>SUM(D46:D53)</f>
        <v>1324968459</v>
      </c>
      <c r="E54" s="268">
        <f>SUM(E46:E53)</f>
        <v>1175540305</v>
      </c>
      <c r="F54" s="111"/>
      <c r="G54" s="283">
        <f t="shared" si="10"/>
        <v>149428154</v>
      </c>
      <c r="H54" s="284">
        <f t="shared" si="1"/>
        <v>0.12711444547194833</v>
      </c>
    </row>
    <row r="55" spans="1:8" s="110" customFormat="1" ht="4.5" customHeight="1" thickBot="1">
      <c r="B55" s="62"/>
      <c r="C55" s="56"/>
      <c r="D55" s="265"/>
      <c r="E55" s="266"/>
      <c r="F55" s="111"/>
      <c r="G55" s="261"/>
      <c r="H55" s="282"/>
    </row>
    <row r="56" spans="1:8" s="110" customFormat="1" ht="21" customHeight="1" thickBot="1">
      <c r="B56" s="420" t="s">
        <v>127</v>
      </c>
      <c r="C56" s="433"/>
      <c r="D56" s="267">
        <f>+D54+D44</f>
        <v>1574856001</v>
      </c>
      <c r="E56" s="268">
        <f>+E54+E44</f>
        <v>1537208431</v>
      </c>
      <c r="F56" s="111"/>
      <c r="G56" s="283">
        <f>ROUND(+(D56-E56),0)</f>
        <v>37647570</v>
      </c>
      <c r="H56" s="284">
        <f t="shared" ref="H56:H67" si="15">IFERROR(G56/E56,100)</f>
        <v>2.4490868798780353E-2</v>
      </c>
    </row>
    <row r="57" spans="1:8" s="110" customFormat="1" ht="21" customHeight="1">
      <c r="B57" s="428" t="s">
        <v>248</v>
      </c>
      <c r="C57" s="61"/>
      <c r="D57" s="275"/>
      <c r="E57" s="276"/>
      <c r="F57" s="111"/>
      <c r="G57" s="261"/>
      <c r="H57" s="282"/>
    </row>
    <row r="58" spans="1:8" s="110" customFormat="1" ht="18" customHeight="1">
      <c r="B58" s="62" t="s">
        <v>128</v>
      </c>
      <c r="C58" s="53">
        <v>22</v>
      </c>
      <c r="D58" s="265">
        <f>+VLOOKUP(B58,[3]Pasivo!$B:$E,3,0)</f>
        <v>155567354</v>
      </c>
      <c r="E58" s="265">
        <f>+VLOOKUP(B58,[3]Pasivo!$B:$E,4,0)</f>
        <v>155567354</v>
      </c>
      <c r="F58" s="111"/>
      <c r="G58" s="261">
        <f t="shared" ref="G58:G65" si="16">ROUND(+(D58-E58),0)</f>
        <v>0</v>
      </c>
      <c r="H58" s="282">
        <f t="shared" si="15"/>
        <v>0</v>
      </c>
    </row>
    <row r="59" spans="1:8" s="110" customFormat="1" ht="18" customHeight="1">
      <c r="B59" s="62" t="s">
        <v>341</v>
      </c>
      <c r="C59" s="53">
        <v>22</v>
      </c>
      <c r="D59" s="265">
        <f>+VLOOKUP(B59,[3]Pasivo!$B:$E,3,0)</f>
        <v>413907664</v>
      </c>
      <c r="E59" s="265">
        <f>+VLOOKUP(B59,[3]Pasivo!$B:$E,4,0)</f>
        <v>411044222</v>
      </c>
      <c r="F59" s="111"/>
      <c r="G59" s="261">
        <f t="shared" si="16"/>
        <v>2863442</v>
      </c>
      <c r="H59" s="282">
        <f t="shared" si="15"/>
        <v>6.9662626227111881E-3</v>
      </c>
    </row>
    <row r="60" spans="1:8" s="110" customFormat="1" ht="18" customHeight="1">
      <c r="B60" s="434" t="s">
        <v>342</v>
      </c>
      <c r="C60" s="53">
        <v>22</v>
      </c>
      <c r="D60" s="265">
        <f>+VLOOKUP(B60,[3]Pasivo!$B:$E,3,0)</f>
        <v>164064038</v>
      </c>
      <c r="E60" s="265">
        <f>+VLOOKUP(B60,[3]Pasivo!$B:$E,4,0)</f>
        <v>164064038</v>
      </c>
      <c r="F60" s="111"/>
      <c r="G60" s="261">
        <f t="shared" si="16"/>
        <v>0</v>
      </c>
      <c r="H60" s="282">
        <f t="shared" si="15"/>
        <v>0</v>
      </c>
    </row>
    <row r="61" spans="1:8" s="111" customFormat="1" ht="18" customHeight="1">
      <c r="A61" s="110"/>
      <c r="B61" s="62" t="s">
        <v>129</v>
      </c>
      <c r="C61" s="53">
        <v>22</v>
      </c>
      <c r="D61" s="265">
        <f>+VLOOKUP(B61,[3]Pasivo!$B:$E,3,0)</f>
        <v>-5965550</v>
      </c>
      <c r="E61" s="265">
        <f>+VLOOKUP(B61,[3]Pasivo!$B:$E,4,0)</f>
        <v>-5965550</v>
      </c>
      <c r="G61" s="261">
        <f t="shared" si="16"/>
        <v>0</v>
      </c>
      <c r="H61" s="282">
        <f t="shared" si="15"/>
        <v>0</v>
      </c>
    </row>
    <row r="62" spans="1:8" s="111" customFormat="1" ht="18" customHeight="1" thickBot="1">
      <c r="A62" s="110"/>
      <c r="B62" s="62" t="s">
        <v>314</v>
      </c>
      <c r="C62" s="53">
        <v>22</v>
      </c>
      <c r="D62" s="265">
        <f>+VLOOKUP(B62,[3]Pasivo!$B:$E,3,0)</f>
        <v>443076432</v>
      </c>
      <c r="E62" s="265">
        <f>+VLOOKUP(B62,[3]Pasivo!$B:$E,4,0)</f>
        <v>161397766</v>
      </c>
      <c r="G62" s="261">
        <f t="shared" si="16"/>
        <v>281678666</v>
      </c>
      <c r="H62" s="282"/>
    </row>
    <row r="63" spans="1:8" s="111" customFormat="1" ht="21.75" customHeight="1" thickBot="1">
      <c r="A63" s="110"/>
      <c r="B63" s="435" t="s">
        <v>94</v>
      </c>
      <c r="C63" s="53"/>
      <c r="D63" s="271">
        <f>SUM(D58:D62)</f>
        <v>1170649938</v>
      </c>
      <c r="E63" s="272">
        <f>SUM(E58:E62)</f>
        <v>886107830</v>
      </c>
      <c r="G63" s="283">
        <f>ROUND(+(D63-E63),0)</f>
        <v>284542108</v>
      </c>
      <c r="H63" s="284">
        <f t="shared" si="15"/>
        <v>0.32111453975076598</v>
      </c>
    </row>
    <row r="64" spans="1:8" s="111" customFormat="1" ht="21.75" customHeight="1" thickBot="1">
      <c r="A64" s="110"/>
      <c r="B64" s="62" t="s">
        <v>95</v>
      </c>
      <c r="C64" s="53">
        <v>23</v>
      </c>
      <c r="D64" s="265">
        <f>+VLOOKUP(B64,[3]Pasivo!$B:$E,3,0)</f>
        <v>33547</v>
      </c>
      <c r="E64" s="265">
        <f>+VLOOKUP(B64,[3]Pasivo!$B:$E,4,0)</f>
        <v>31468</v>
      </c>
      <c r="G64" s="261">
        <f t="shared" si="16"/>
        <v>2079</v>
      </c>
      <c r="H64" s="282">
        <f t="shared" si="15"/>
        <v>6.6067115800177961E-2</v>
      </c>
    </row>
    <row r="65" spans="1:8" s="111" customFormat="1" ht="18" customHeight="1" thickBot="1">
      <c r="A65" s="110"/>
      <c r="B65" s="420" t="s">
        <v>249</v>
      </c>
      <c r="C65" s="63"/>
      <c r="D65" s="267">
        <f>+D63+D64</f>
        <v>1170683485</v>
      </c>
      <c r="E65" s="268">
        <f>+E63+E64</f>
        <v>886139298</v>
      </c>
      <c r="G65" s="283">
        <f t="shared" si="16"/>
        <v>284544187</v>
      </c>
      <c r="H65" s="284">
        <f t="shared" si="15"/>
        <v>0.32110548267322186</v>
      </c>
    </row>
    <row r="66" spans="1:8" s="110" customFormat="1" ht="11.25" customHeight="1" thickBot="1">
      <c r="B66" s="62"/>
      <c r="C66" s="56"/>
      <c r="D66" s="265"/>
      <c r="E66" s="266"/>
      <c r="F66" s="111"/>
      <c r="G66" s="261"/>
      <c r="H66" s="282"/>
    </row>
    <row r="67" spans="1:8" s="111" customFormat="1" ht="20.25" customHeight="1" thickBot="1">
      <c r="A67" s="110"/>
      <c r="B67" s="430" t="s">
        <v>250</v>
      </c>
      <c r="C67" s="436"/>
      <c r="D67" s="273">
        <f>+D65+D56</f>
        <v>2745539486</v>
      </c>
      <c r="E67" s="274">
        <f>+E65+E56</f>
        <v>2423347729</v>
      </c>
      <c r="G67" s="283">
        <f>ROUND(+(D67-E67),0)</f>
        <v>322191757</v>
      </c>
      <c r="H67" s="284">
        <f t="shared" si="15"/>
        <v>0.13295316769622376</v>
      </c>
    </row>
    <row r="69" spans="1:8" ht="15" customHeight="1">
      <c r="B69" s="437" t="s">
        <v>285</v>
      </c>
      <c r="C69" s="437"/>
      <c r="D69" s="438">
        <f>+D67-D28</f>
        <v>0</v>
      </c>
      <c r="E69" s="438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  <pageSetUpPr fitToPage="1"/>
  </sheetPr>
  <dimension ref="A1:M31"/>
  <sheetViews>
    <sheetView showGridLines="0" zoomScale="90" zoomScaleNormal="90" workbookViewId="0">
      <selection activeCell="O14" sqref="O14"/>
    </sheetView>
  </sheetViews>
  <sheetFormatPr baseColWidth="10" defaultColWidth="11.42578125" defaultRowHeight="12.75"/>
  <cols>
    <col min="1" max="1" width="7.5703125" style="90" customWidth="1"/>
    <col min="2" max="2" width="50.42578125" style="90" customWidth="1"/>
    <col min="3" max="3" width="7.5703125" style="90" customWidth="1"/>
    <col min="4" max="4" width="12.42578125" style="90" bestFit="1" customWidth="1"/>
    <col min="5" max="5" width="13.85546875" style="90" customWidth="1"/>
    <col min="6" max="7" width="11.42578125" style="90" customWidth="1"/>
    <col min="8" max="8" width="5" style="90" customWidth="1"/>
    <col min="9" max="9" width="11.42578125" style="277"/>
    <col min="10" max="11" width="12.5703125" style="278" customWidth="1"/>
    <col min="12" max="12" width="0" style="277" hidden="1" customWidth="1"/>
    <col min="13" max="13" width="12.5703125" style="278" hidden="1" customWidth="1"/>
    <col min="14" max="16384" width="11.42578125" style="90"/>
  </cols>
  <sheetData>
    <row r="1" spans="1:13">
      <c r="C1" s="106"/>
    </row>
    <row r="2" spans="1:13" ht="13.5" thickBot="1">
      <c r="C2" s="106"/>
      <c r="I2" s="472" t="s">
        <v>238</v>
      </c>
      <c r="J2" s="472"/>
      <c r="K2" s="315"/>
      <c r="L2" s="472" t="s">
        <v>239</v>
      </c>
      <c r="M2" s="472"/>
    </row>
    <row r="3" spans="1:13" s="82" customFormat="1" ht="25.5">
      <c r="A3" s="107"/>
      <c r="B3" s="468" t="s">
        <v>281</v>
      </c>
      <c r="C3" s="464" t="s">
        <v>106</v>
      </c>
      <c r="D3" s="346">
        <v>45565</v>
      </c>
      <c r="E3" s="346">
        <v>45199</v>
      </c>
      <c r="F3" s="402" t="s">
        <v>387</v>
      </c>
      <c r="G3" s="402" t="s">
        <v>388</v>
      </c>
      <c r="I3" s="470" t="s">
        <v>237</v>
      </c>
      <c r="J3" s="471"/>
      <c r="K3" s="316"/>
      <c r="L3" s="470" t="s">
        <v>237</v>
      </c>
      <c r="M3" s="471"/>
    </row>
    <row r="4" spans="1:13" s="82" customFormat="1" ht="16.5" customHeight="1">
      <c r="B4" s="469"/>
      <c r="C4" s="465"/>
      <c r="D4" s="52" t="s">
        <v>8</v>
      </c>
      <c r="E4" s="52" t="s">
        <v>8</v>
      </c>
      <c r="F4" s="403" t="s">
        <v>8</v>
      </c>
      <c r="G4" s="410" t="s">
        <v>8</v>
      </c>
      <c r="I4" s="280" t="s">
        <v>8</v>
      </c>
      <c r="J4" s="281" t="s">
        <v>70</v>
      </c>
      <c r="K4" s="317"/>
      <c r="L4" s="280" t="s">
        <v>8</v>
      </c>
      <c r="M4" s="281"/>
    </row>
    <row r="5" spans="1:13" s="82" customFormat="1" ht="21" customHeight="1">
      <c r="B5" s="64" t="s">
        <v>282</v>
      </c>
      <c r="C5" s="56">
        <v>25</v>
      </c>
      <c r="D5" s="54">
        <f>+VLOOKUP(B5,[3]Resultado!$B:$G,3,0)</f>
        <v>483042204</v>
      </c>
      <c r="E5" s="54">
        <f>+VLOOKUP(B5,[3]Resultado!$B:$G,4,0)</f>
        <v>475235519</v>
      </c>
      <c r="F5" s="54">
        <f>+VLOOKUP(B5,[3]Resultado!$B:$G,5,0)</f>
        <v>143355594</v>
      </c>
      <c r="G5" s="54">
        <f>+VLOOKUP(B5,[3]Resultado!$B:$G,6,0)</f>
        <v>138426249</v>
      </c>
      <c r="H5" s="81"/>
      <c r="I5" s="261">
        <f t="shared" ref="I5:I11" si="0">+ROUND((D5-E5),0)</f>
        <v>7806685</v>
      </c>
      <c r="J5" s="285">
        <f t="shared" ref="J5:J11" si="1">IFERROR(I5/E5,1)</f>
        <v>1.6426981334280277E-2</v>
      </c>
      <c r="K5" s="318"/>
      <c r="L5" s="261" t="e">
        <f>+ROUND((#REF!-#REF!),0)</f>
        <v>#REF!</v>
      </c>
      <c r="M5" s="285">
        <f>IFERROR(L5/#REF!,1)</f>
        <v>1</v>
      </c>
    </row>
    <row r="6" spans="1:13" s="82" customFormat="1" ht="21" customHeight="1">
      <c r="B6" s="64" t="s">
        <v>100</v>
      </c>
      <c r="C6" s="56"/>
      <c r="D6" s="54">
        <f>+VLOOKUP(B6,[3]Resultado!$B:$G,3,0)</f>
        <v>-61764843</v>
      </c>
      <c r="E6" s="54">
        <f>+VLOOKUP(B6,[3]Resultado!$B:$G,4,0)</f>
        <v>-68295994</v>
      </c>
      <c r="F6" s="54">
        <f>+VLOOKUP(B6,[3]Resultado!$B:$G,5,0)</f>
        <v>-20594413</v>
      </c>
      <c r="G6" s="54">
        <f>+VLOOKUP(B6,[3]Resultado!$B:$G,6,0)</f>
        <v>-20051992</v>
      </c>
      <c r="H6" s="81"/>
      <c r="I6" s="261">
        <f t="shared" si="0"/>
        <v>6531151</v>
      </c>
      <c r="J6" s="285">
        <f t="shared" si="1"/>
        <v>-9.5630074583876762E-2</v>
      </c>
      <c r="K6" s="318"/>
      <c r="L6" s="261" t="e">
        <f>+ROUND((#REF!-#REF!),0)</f>
        <v>#REF!</v>
      </c>
      <c r="M6" s="285">
        <f>IFERROR(L6/#REF!,1)</f>
        <v>1</v>
      </c>
    </row>
    <row r="7" spans="1:13" s="82" customFormat="1" ht="21" customHeight="1">
      <c r="B7" s="64" t="s">
        <v>91</v>
      </c>
      <c r="C7" s="56">
        <v>20</v>
      </c>
      <c r="D7" s="54">
        <f>+VLOOKUP(B7,[3]Resultado!$B:$G,3,0)</f>
        <v>-60663659</v>
      </c>
      <c r="E7" s="54">
        <f>+VLOOKUP(B7,[3]Resultado!$B:$G,4,0)</f>
        <v>-55636489</v>
      </c>
      <c r="F7" s="54">
        <f>+VLOOKUP(B7,[3]Resultado!$B:$G,5,0)</f>
        <v>-20698782</v>
      </c>
      <c r="G7" s="54">
        <f>+VLOOKUP(B7,[3]Resultado!$B:$G,6,0)</f>
        <v>-18922840</v>
      </c>
      <c r="H7" s="81"/>
      <c r="I7" s="261">
        <f t="shared" si="0"/>
        <v>-5027170</v>
      </c>
      <c r="J7" s="285">
        <f t="shared" si="1"/>
        <v>9.0357427119457517E-2</v>
      </c>
      <c r="K7" s="318"/>
      <c r="L7" s="261" t="e">
        <f>+ROUND((#REF!-#REF!),0)</f>
        <v>#REF!</v>
      </c>
      <c r="M7" s="285">
        <f>IFERROR(L7/#REF!,1)</f>
        <v>1</v>
      </c>
    </row>
    <row r="8" spans="1:13" s="82" customFormat="1" ht="21" customHeight="1">
      <c r="B8" s="64" t="s">
        <v>328</v>
      </c>
      <c r="C8" s="56" t="s">
        <v>373</v>
      </c>
      <c r="D8" s="54">
        <f>+VLOOKUP(B8,[3]Resultado!$B:$G,3,0)</f>
        <v>-60798649</v>
      </c>
      <c r="E8" s="54">
        <f>+VLOOKUP(B8,[3]Resultado!$B:$G,4,0)</f>
        <v>-56569056</v>
      </c>
      <c r="F8" s="54">
        <f>+VLOOKUP(B8,[3]Resultado!$B:$G,5,0)</f>
        <v>-20220051</v>
      </c>
      <c r="G8" s="54">
        <f>+VLOOKUP(B8,[3]Resultado!$B:$G,6,0)</f>
        <v>-19264529</v>
      </c>
      <c r="H8" s="81"/>
      <c r="I8" s="261">
        <f t="shared" si="0"/>
        <v>-4229593</v>
      </c>
      <c r="J8" s="285">
        <f t="shared" si="1"/>
        <v>7.4768668580928774E-2</v>
      </c>
      <c r="K8" s="318"/>
      <c r="L8" s="261" t="e">
        <f>+ROUND((#REF!-#REF!),0)</f>
        <v>#REF!</v>
      </c>
      <c r="M8" s="285">
        <f>IFERROR(L8/#REF!,1)</f>
        <v>1</v>
      </c>
    </row>
    <row r="9" spans="1:13" s="82" customFormat="1" ht="21" customHeight="1">
      <c r="B9" s="66" t="s">
        <v>329</v>
      </c>
      <c r="C9" s="65" t="s">
        <v>374</v>
      </c>
      <c r="D9" s="54">
        <f>+VLOOKUP(B9,[3]Resultado!$B:$G,3,0)</f>
        <v>-6550791</v>
      </c>
      <c r="E9" s="54">
        <f>+VLOOKUP(B9,[3]Resultado!$B:$G,4,0)</f>
        <v>-10816911</v>
      </c>
      <c r="F9" s="54">
        <f>+VLOOKUP(B9,[3]Resultado!$B:$G,5,0)</f>
        <v>36709</v>
      </c>
      <c r="G9" s="54">
        <f>+VLOOKUP(B9,[3]Resultado!$B:$G,6,0)</f>
        <v>-2630571</v>
      </c>
      <c r="H9" s="81"/>
      <c r="I9" s="261">
        <f t="shared" si="0"/>
        <v>4266120</v>
      </c>
      <c r="J9" s="285">
        <f t="shared" si="1"/>
        <v>-0.39439355653383856</v>
      </c>
      <c r="K9" s="318"/>
      <c r="L9" s="261" t="e">
        <f>+ROUND((#REF!-#REF!),0)</f>
        <v>#REF!</v>
      </c>
      <c r="M9" s="285">
        <f>IFERROR(L9/#REF!,1)</f>
        <v>1</v>
      </c>
    </row>
    <row r="10" spans="1:13" s="82" customFormat="1" ht="21" customHeight="1">
      <c r="B10" s="64" t="s">
        <v>93</v>
      </c>
      <c r="C10" s="56">
        <v>26</v>
      </c>
      <c r="D10" s="54">
        <f>+VLOOKUP(B10,[3]Resultado!$B:$G,3,0)</f>
        <v>-119028718</v>
      </c>
      <c r="E10" s="54">
        <f>+VLOOKUP(B10,[3]Resultado!$B:$G,4,0)</f>
        <v>-109290684</v>
      </c>
      <c r="F10" s="54">
        <f>+VLOOKUP(B10,[3]Resultado!$B:$G,5,0)</f>
        <v>-43327383</v>
      </c>
      <c r="G10" s="54">
        <f>+VLOOKUP(B10,[3]Resultado!$B:$G,6,0)</f>
        <v>-37162971</v>
      </c>
      <c r="H10" s="81"/>
      <c r="I10" s="261">
        <f t="shared" si="0"/>
        <v>-9738034</v>
      </c>
      <c r="J10" s="285">
        <f t="shared" si="1"/>
        <v>8.9102141587841105E-2</v>
      </c>
      <c r="K10" s="318"/>
      <c r="L10" s="261" t="e">
        <f>+ROUND((#REF!-#REF!),0)</f>
        <v>#REF!</v>
      </c>
      <c r="M10" s="285">
        <f>IFERROR(L10/#REF!,1)</f>
        <v>1</v>
      </c>
    </row>
    <row r="11" spans="1:13" s="82" customFormat="1" ht="21" customHeight="1">
      <c r="B11" s="64" t="s">
        <v>274</v>
      </c>
      <c r="C11" s="56">
        <v>27</v>
      </c>
      <c r="D11" s="54">
        <f>+VLOOKUP(B11,[3]Resultado!$B:$G,3,0)</f>
        <v>2237093</v>
      </c>
      <c r="E11" s="54">
        <f>+VLOOKUP(B11,[3]Resultado!$B:$G,4,0)</f>
        <v>-1774124</v>
      </c>
      <c r="F11" s="54">
        <f>+VLOOKUP(B11,[3]Resultado!$B:$G,5,0)</f>
        <v>-264659</v>
      </c>
      <c r="G11" s="54">
        <f>+VLOOKUP(B11,[3]Resultado!$B:$G,6,0)</f>
        <v>117193</v>
      </c>
      <c r="H11" s="81"/>
      <c r="I11" s="261">
        <f t="shared" si="0"/>
        <v>4011217</v>
      </c>
      <c r="J11" s="285">
        <f t="shared" si="1"/>
        <v>-2.2609563931269743</v>
      </c>
      <c r="K11" s="318"/>
      <c r="L11" s="261" t="e">
        <f>+ROUND((#REF!-#REF!),0)</f>
        <v>#REF!</v>
      </c>
      <c r="M11" s="285">
        <f>IFERROR(L11/#REF!,1)</f>
        <v>1</v>
      </c>
    </row>
    <row r="12" spans="1:13" s="82" customFormat="1" ht="21" customHeight="1">
      <c r="B12" s="296" t="s">
        <v>292</v>
      </c>
      <c r="C12" s="297"/>
      <c r="D12" s="297">
        <f>+SUM(D5:D11)</f>
        <v>176472637</v>
      </c>
      <c r="E12" s="297">
        <f t="shared" ref="E12:G12" si="2">+SUM(E5:E11)</f>
        <v>172852261</v>
      </c>
      <c r="F12" s="297">
        <f t="shared" si="2"/>
        <v>38287015</v>
      </c>
      <c r="G12" s="297">
        <f t="shared" si="2"/>
        <v>40510539</v>
      </c>
      <c r="H12" s="81"/>
      <c r="I12" s="261"/>
      <c r="J12" s="285"/>
      <c r="K12" s="318"/>
      <c r="L12" s="261"/>
      <c r="M12" s="285"/>
    </row>
    <row r="13" spans="1:13" s="82" customFormat="1" ht="21" customHeight="1">
      <c r="B13" s="64" t="s">
        <v>97</v>
      </c>
      <c r="C13" s="56">
        <v>27</v>
      </c>
      <c r="D13" s="54">
        <f>+VLOOKUP(B13,[3]Resultado!$B:$G,3,0)</f>
        <v>7604978</v>
      </c>
      <c r="E13" s="54">
        <f>+VLOOKUP(B13,[3]Resultado!$B:$G,4,0)</f>
        <v>12898623</v>
      </c>
      <c r="F13" s="54">
        <f>+VLOOKUP(B13,[3]Resultado!$B:$G,5,0)</f>
        <v>2639168</v>
      </c>
      <c r="G13" s="54">
        <f>+VLOOKUP(B13,[3]Resultado!$B:$G,6,0)</f>
        <v>2246465</v>
      </c>
      <c r="H13" s="81"/>
      <c r="I13" s="261">
        <f>+ROUND((D13-E13),0)</f>
        <v>-5293645</v>
      </c>
      <c r="J13" s="285">
        <f>IFERROR(I13/E13,1)</f>
        <v>-0.41040388574811437</v>
      </c>
      <c r="K13" s="318"/>
      <c r="L13" s="261" t="e">
        <f>+ROUND((#REF!-#REF!),0)</f>
        <v>#REF!</v>
      </c>
      <c r="M13" s="285">
        <f>IFERROR(L13/#REF!,1)</f>
        <v>1</v>
      </c>
    </row>
    <row r="14" spans="1:13" s="82" customFormat="1" ht="21" customHeight="1">
      <c r="B14" s="64" t="s">
        <v>330</v>
      </c>
      <c r="C14" s="56">
        <v>27</v>
      </c>
      <c r="D14" s="54">
        <f>+VLOOKUP(B14,[3]Resultado!$B:$G,3,0)</f>
        <v>-37232930</v>
      </c>
      <c r="E14" s="54">
        <f>+VLOOKUP(B14,[3]Resultado!$B:$G,4,0)</f>
        <v>-36680405</v>
      </c>
      <c r="F14" s="54">
        <f>+VLOOKUP(B14,[3]Resultado!$B:$G,5,0)</f>
        <v>-13300111</v>
      </c>
      <c r="G14" s="54">
        <f>+VLOOKUP(B14,[3]Resultado!$B:$G,6,0)</f>
        <v>-12415087</v>
      </c>
      <c r="H14" s="81"/>
      <c r="I14" s="261">
        <f>+ROUND((D14-E14),0)</f>
        <v>-552525</v>
      </c>
      <c r="J14" s="285">
        <f>IFERROR(I14/E14,1)</f>
        <v>1.5063219721810597E-2</v>
      </c>
      <c r="K14" s="318"/>
      <c r="L14" s="261" t="e">
        <f>+ROUND((#REF!-#REF!),0)</f>
        <v>#REF!</v>
      </c>
      <c r="M14" s="285">
        <f>IFERROR(L14/#REF!,1)</f>
        <v>1</v>
      </c>
    </row>
    <row r="15" spans="1:13" s="82" customFormat="1" ht="21" customHeight="1">
      <c r="B15" s="64" t="s">
        <v>293</v>
      </c>
      <c r="C15" s="56">
        <v>28</v>
      </c>
      <c r="D15" s="54">
        <f>+VLOOKUP(B15,[3]Resultado!$B:$G,3,0)</f>
        <v>269429</v>
      </c>
      <c r="E15" s="54">
        <f>+VLOOKUP(B15,[3]Resultado!$B:$G,4,0)</f>
        <v>2515087</v>
      </c>
      <c r="F15" s="54">
        <f>+VLOOKUP(B15,[3]Resultado!$B:$G,5,0)</f>
        <v>-197403</v>
      </c>
      <c r="G15" s="54">
        <f>+VLOOKUP(B15,[3]Resultado!$B:$G,6,0)</f>
        <v>2013758</v>
      </c>
      <c r="H15" s="81"/>
      <c r="I15" s="261">
        <f>+ROUND((D15-E15),0)</f>
        <v>-2245658</v>
      </c>
      <c r="J15" s="285">
        <f>IFERROR(I15/E15,1)</f>
        <v>-0.89287487868212911</v>
      </c>
      <c r="K15" s="318"/>
      <c r="L15" s="261" t="e">
        <f>+ROUND((#REF!-#REF!),0)</f>
        <v>#REF!</v>
      </c>
      <c r="M15" s="285">
        <f>IFERROR(L15/#REF!,1)</f>
        <v>1</v>
      </c>
    </row>
    <row r="16" spans="1:13" s="82" customFormat="1" ht="21" customHeight="1">
      <c r="B16" s="64" t="s">
        <v>331</v>
      </c>
      <c r="C16" s="56">
        <v>29</v>
      </c>
      <c r="D16" s="54">
        <f>+VLOOKUP(B16,[3]Resultado!$B:$G,3,0)</f>
        <v>-31381630</v>
      </c>
      <c r="E16" s="54">
        <f>+VLOOKUP(B16,[3]Resultado!$B:$G,4,0)</f>
        <v>-29886454</v>
      </c>
      <c r="F16" s="54">
        <f>+VLOOKUP(B16,[3]Resultado!$B:$G,5,0)</f>
        <v>-9917250</v>
      </c>
      <c r="G16" s="54">
        <f>+VLOOKUP(B16,[3]Resultado!$B:$G,6,0)</f>
        <v>-3125107</v>
      </c>
      <c r="H16" s="81"/>
      <c r="I16" s="261">
        <f>+ROUND((D16-E16),0)</f>
        <v>-1495176</v>
      </c>
      <c r="J16" s="285">
        <f>IFERROR(I16/E16,1)</f>
        <v>5.0028551396562468E-2</v>
      </c>
      <c r="K16" s="318"/>
      <c r="L16" s="261" t="e">
        <f>+ROUND((#REF!-#REF!),0)</f>
        <v>#REF!</v>
      </c>
      <c r="M16" s="285">
        <f>IFERROR(L16/#REF!,1)</f>
        <v>1</v>
      </c>
    </row>
    <row r="17" spans="2:13" s="82" customFormat="1" ht="21" customHeight="1" thickBot="1">
      <c r="B17" s="64" t="s">
        <v>304</v>
      </c>
      <c r="C17" s="56"/>
      <c r="D17" s="54"/>
      <c r="E17" s="54"/>
      <c r="F17" s="404"/>
      <c r="G17" s="55"/>
      <c r="H17" s="81"/>
      <c r="I17" s="261"/>
      <c r="J17" s="285"/>
      <c r="K17" s="318"/>
      <c r="L17" s="261"/>
      <c r="M17" s="285"/>
    </row>
    <row r="18" spans="2:13" s="82" customFormat="1" ht="21" customHeight="1" thickBot="1">
      <c r="B18" s="68" t="s">
        <v>251</v>
      </c>
      <c r="C18" s="69"/>
      <c r="D18" s="70">
        <f>SUM(D12:D16)</f>
        <v>115732484</v>
      </c>
      <c r="E18" s="70">
        <f>SUM(E12:E16)</f>
        <v>121699112</v>
      </c>
      <c r="F18" s="405">
        <f t="shared" ref="F18:G18" si="3">SUM(F12:F16)</f>
        <v>17511419</v>
      </c>
      <c r="G18" s="411">
        <f t="shared" si="3"/>
        <v>29230568</v>
      </c>
      <c r="H18" s="81"/>
      <c r="I18" s="283">
        <f>+ROUND((D18-E18),0)</f>
        <v>-5966628</v>
      </c>
      <c r="J18" s="288">
        <f>IFERROR(I18/E18,1)</f>
        <v>-4.9027703669686597E-2</v>
      </c>
      <c r="K18" s="319"/>
      <c r="L18" s="283" t="e">
        <f>+ROUND((#REF!-#REF!),0)</f>
        <v>#REF!</v>
      </c>
      <c r="M18" s="288">
        <f>IFERROR(L18/#REF!,1)</f>
        <v>1</v>
      </c>
    </row>
    <row r="19" spans="2:13" s="82" customFormat="1" ht="21" customHeight="1" thickBot="1">
      <c r="B19" s="64" t="s">
        <v>332</v>
      </c>
      <c r="C19" s="56">
        <v>16</v>
      </c>
      <c r="D19" s="54">
        <f>+VLOOKUP(B19,[3]Resultado!$B:$G,3,0)</f>
        <v>-24328925</v>
      </c>
      <c r="E19" s="54">
        <f>+VLOOKUP(B19,[3]Resultado!$B:$G,4,0)</f>
        <v>-25215487</v>
      </c>
      <c r="F19" s="54">
        <f>+VLOOKUP(B19,[3]Resultado!$B:$G,5,0)</f>
        <v>-2616166</v>
      </c>
      <c r="G19" s="54">
        <f>+VLOOKUP(B19,[3]Resultado!$B:$G,6,0)</f>
        <v>-7170908</v>
      </c>
      <c r="H19" s="81"/>
      <c r="I19" s="261">
        <f>+ROUND((D19-E19),0)</f>
        <v>886562</v>
      </c>
      <c r="J19" s="285">
        <f>IFERROR(I19/E19,1)</f>
        <v>-3.5159424047610105E-2</v>
      </c>
      <c r="K19" s="318"/>
      <c r="L19" s="261" t="e">
        <f>+ROUND((#REF!-#REF!),0)</f>
        <v>#REF!</v>
      </c>
      <c r="M19" s="285">
        <f>IFERROR(L19/#REF!,1)</f>
        <v>1</v>
      </c>
    </row>
    <row r="20" spans="2:13" s="82" customFormat="1" ht="21" customHeight="1" thickBot="1">
      <c r="B20" s="68" t="s">
        <v>252</v>
      </c>
      <c r="C20" s="71"/>
      <c r="D20" s="70">
        <f>+D18+D19</f>
        <v>91403559</v>
      </c>
      <c r="E20" s="70">
        <f>+E18+E19</f>
        <v>96483625</v>
      </c>
      <c r="F20" s="405">
        <f t="shared" ref="F20:G20" si="4">+F18+F19</f>
        <v>14895253</v>
      </c>
      <c r="G20" s="411">
        <f t="shared" si="4"/>
        <v>22059660</v>
      </c>
      <c r="H20" s="81"/>
      <c r="I20" s="283">
        <f>+ROUND((D20-E20),0)</f>
        <v>-5080066</v>
      </c>
      <c r="J20" s="288">
        <f>IFERROR(I20/E20,1)</f>
        <v>-5.2652105473856313E-2</v>
      </c>
      <c r="K20" s="319"/>
      <c r="L20" s="283" t="e">
        <f>+ROUND((#REF!-#REF!),0)</f>
        <v>#REF!</v>
      </c>
      <c r="M20" s="288">
        <f>IFERROR(L20/#REF!,1)</f>
        <v>1</v>
      </c>
    </row>
    <row r="21" spans="2:13" s="82" customFormat="1" ht="23.25" customHeight="1">
      <c r="B21" s="66" t="s">
        <v>305</v>
      </c>
      <c r="C21" s="72"/>
      <c r="D21" s="54">
        <f>+VLOOKUP(B21,[3]Resultado!$B:$G,3,0)</f>
        <v>0</v>
      </c>
      <c r="E21" s="54">
        <f>+VLOOKUP(B21,[3]Resultado!$B:$G,4,0)</f>
        <v>0</v>
      </c>
      <c r="F21" s="54">
        <f>+VLOOKUP(B21,[3]Resultado!$B:$G,5,0)</f>
        <v>0</v>
      </c>
      <c r="G21" s="54">
        <f>+VLOOKUP(B21,[3]Resultado!$B:$G,6,0)</f>
        <v>0</v>
      </c>
      <c r="H21" s="81"/>
      <c r="I21" s="261">
        <f>+ROUND((D21-E21),0)</f>
        <v>0</v>
      </c>
      <c r="J21" s="285">
        <f>IFERROR(I21/E21,1)</f>
        <v>1</v>
      </c>
      <c r="K21" s="318"/>
      <c r="L21" s="261" t="e">
        <f>+ROUND((#REF!-#REF!),0)</f>
        <v>#REF!</v>
      </c>
      <c r="M21" s="285">
        <f>IFERROR(L21/#REF!,1)</f>
        <v>1</v>
      </c>
    </row>
    <row r="22" spans="2:13" s="82" customFormat="1" ht="23.25" customHeight="1" thickBot="1">
      <c r="B22" s="66"/>
      <c r="C22" s="72"/>
      <c r="D22" s="54"/>
      <c r="E22" s="54"/>
      <c r="F22" s="404"/>
      <c r="G22" s="55"/>
      <c r="H22" s="81"/>
      <c r="I22" s="261"/>
      <c r="J22" s="285"/>
      <c r="K22" s="318"/>
      <c r="L22" s="261"/>
      <c r="M22" s="285"/>
    </row>
    <row r="23" spans="2:13" s="82" customFormat="1" ht="21" customHeight="1" thickBot="1">
      <c r="B23" s="68" t="s">
        <v>130</v>
      </c>
      <c r="C23" s="71"/>
      <c r="D23" s="70">
        <f>+D20+D21</f>
        <v>91403559</v>
      </c>
      <c r="E23" s="70">
        <f t="shared" ref="E23:G23" si="5">+E20+E21</f>
        <v>96483625</v>
      </c>
      <c r="F23" s="405">
        <f t="shared" si="5"/>
        <v>14895253</v>
      </c>
      <c r="G23" s="411">
        <f t="shared" si="5"/>
        <v>22059660</v>
      </c>
      <c r="H23" s="81"/>
      <c r="I23" s="283">
        <f>+ROUND((D23-E23),0)</f>
        <v>-5080066</v>
      </c>
      <c r="J23" s="288">
        <f>IFERROR(I23/E23,1)</f>
        <v>-5.2652105473856313E-2</v>
      </c>
      <c r="K23" s="319"/>
      <c r="L23" s="283" t="e">
        <f>+ROUND((#REF!-#REF!),0)</f>
        <v>#REF!</v>
      </c>
      <c r="M23" s="288">
        <f>IFERROR(L23/#REF!,1)</f>
        <v>1</v>
      </c>
    </row>
    <row r="24" spans="2:13" s="82" customFormat="1" ht="21" customHeight="1" thickBot="1">
      <c r="B24" s="73" t="s">
        <v>253</v>
      </c>
      <c r="C24" s="74" t="s">
        <v>4</v>
      </c>
      <c r="D24" s="75"/>
      <c r="E24" s="67"/>
      <c r="F24" s="406"/>
      <c r="G24" s="412"/>
      <c r="H24" s="81"/>
      <c r="I24" s="261"/>
      <c r="J24" s="285"/>
      <c r="K24" s="318"/>
      <c r="L24" s="261"/>
      <c r="M24" s="285"/>
    </row>
    <row r="25" spans="2:13" s="82" customFormat="1" ht="21" customHeight="1" thickBot="1">
      <c r="B25" s="76" t="s">
        <v>103</v>
      </c>
      <c r="C25" s="71"/>
      <c r="D25" s="77">
        <f>+D23-D26</f>
        <v>91402116</v>
      </c>
      <c r="E25" s="77">
        <f>+E23-E26</f>
        <v>96482376</v>
      </c>
      <c r="F25" s="77">
        <f t="shared" ref="F25:G25" si="6">+F23-F26</f>
        <v>14895038</v>
      </c>
      <c r="G25" s="77">
        <f t="shared" si="6"/>
        <v>22059594</v>
      </c>
      <c r="H25" s="81"/>
      <c r="I25" s="283">
        <f>+ROUND((D25-E25),0)</f>
        <v>-5080260</v>
      </c>
      <c r="J25" s="288">
        <f>IFERROR(I25/E25,1)</f>
        <v>-5.2654797804730681E-2</v>
      </c>
      <c r="K25" s="319"/>
      <c r="L25" s="283" t="e">
        <f>+ROUND((#REF!-#REF!),0)</f>
        <v>#REF!</v>
      </c>
      <c r="M25" s="288">
        <f>IFERROR(L25/#REF!,1)</f>
        <v>1</v>
      </c>
    </row>
    <row r="26" spans="2:13" s="82" customFormat="1" ht="21" customHeight="1" thickBot="1">
      <c r="B26" s="66" t="s">
        <v>372</v>
      </c>
      <c r="C26" s="56">
        <v>23</v>
      </c>
      <c r="D26" s="54">
        <f>+VLOOKUP(B26,[3]Resultado!$B:$G,3,0)</f>
        <v>1443</v>
      </c>
      <c r="E26" s="54">
        <f>+VLOOKUP(B26,[3]Resultado!$B:$G,4,0)</f>
        <v>1249</v>
      </c>
      <c r="F26" s="54">
        <f>+VLOOKUP(B26,[3]Resultado!$B:$G,5,0)</f>
        <v>215</v>
      </c>
      <c r="G26" s="54">
        <f>+VLOOKUP(B26,[3]Resultado!$B:$G,6,0)</f>
        <v>66</v>
      </c>
      <c r="H26" s="81"/>
      <c r="I26" s="261">
        <f>+ROUND((D26-E26),0)</f>
        <v>194</v>
      </c>
      <c r="J26" s="285">
        <f>IFERROR(I26/E26,1)</f>
        <v>0.15532425940752603</v>
      </c>
      <c r="K26" s="318"/>
      <c r="L26" s="261" t="e">
        <f>+ROUND((#REF!-#REF!),0)</f>
        <v>#REF!</v>
      </c>
      <c r="M26" s="285">
        <f>IFERROR(L26/#REF!,1)</f>
        <v>1</v>
      </c>
    </row>
    <row r="27" spans="2:13" s="82" customFormat="1" ht="21" customHeight="1" thickBot="1">
      <c r="B27" s="78" t="s">
        <v>131</v>
      </c>
      <c r="C27" s="79"/>
      <c r="D27" s="77">
        <f>+D25+D26</f>
        <v>91403559</v>
      </c>
      <c r="E27" s="77">
        <f t="shared" ref="E27:G27" si="7">+E25+E26</f>
        <v>96483625</v>
      </c>
      <c r="F27" s="407">
        <f t="shared" si="7"/>
        <v>14895253</v>
      </c>
      <c r="G27" s="413">
        <f t="shared" si="7"/>
        <v>22059660</v>
      </c>
      <c r="H27" s="81"/>
      <c r="I27" s="283">
        <f>+ROUND((D27-E27),0)</f>
        <v>-5080066</v>
      </c>
      <c r="J27" s="288">
        <f>IFERROR(I27/E27,1)</f>
        <v>-5.2652105473856313E-2</v>
      </c>
      <c r="K27" s="319"/>
      <c r="L27" s="283" t="e">
        <f>+ROUND((#REF!-#REF!),0)</f>
        <v>#REF!</v>
      </c>
      <c r="M27" s="288">
        <f>IFERROR(L27/#REF!,1)</f>
        <v>1</v>
      </c>
    </row>
    <row r="28" spans="2:13" s="82" customFormat="1" ht="21" customHeight="1">
      <c r="B28" s="80" t="s">
        <v>254</v>
      </c>
      <c r="C28" s="74"/>
      <c r="D28" s="81"/>
      <c r="E28" s="67"/>
      <c r="G28" s="412"/>
      <c r="I28" s="261"/>
      <c r="J28" s="285"/>
      <c r="K28" s="318"/>
      <c r="L28" s="261"/>
      <c r="M28" s="285"/>
    </row>
    <row r="29" spans="2:13" s="82" customFormat="1" ht="21" customHeight="1">
      <c r="B29" s="256" t="s">
        <v>288</v>
      </c>
      <c r="C29" s="56">
        <v>31</v>
      </c>
      <c r="D29" s="257">
        <f>+D25/6118965</f>
        <v>14.937512471471891</v>
      </c>
      <c r="E29" s="257">
        <f>+E25/6118965</f>
        <v>15.767760724240128</v>
      </c>
      <c r="F29" s="408">
        <f>+F25/6118965</f>
        <v>2.4342414117420184</v>
      </c>
      <c r="G29" s="414">
        <f>+G25/6118965</f>
        <v>3.6051185126896459</v>
      </c>
      <c r="I29" s="261"/>
      <c r="J29" s="285"/>
      <c r="K29" s="318"/>
      <c r="L29" s="261"/>
      <c r="M29" s="285"/>
    </row>
    <row r="30" spans="2:13" s="82" customFormat="1" ht="21" customHeight="1" thickBot="1">
      <c r="B30" s="83" t="s">
        <v>132</v>
      </c>
      <c r="C30" s="84"/>
      <c r="D30" s="85">
        <f>+D29</f>
        <v>14.937512471471891</v>
      </c>
      <c r="E30" s="85">
        <f t="shared" ref="E30:G30" si="8">+E29</f>
        <v>15.767760724240128</v>
      </c>
      <c r="F30" s="409">
        <f t="shared" si="8"/>
        <v>2.4342414117420184</v>
      </c>
      <c r="G30" s="415">
        <f t="shared" si="8"/>
        <v>3.6051185126896459</v>
      </c>
      <c r="I30" s="286"/>
      <c r="J30" s="287"/>
      <c r="K30" s="318"/>
      <c r="L30" s="286"/>
      <c r="M30" s="287"/>
    </row>
    <row r="31" spans="2:13" ht="9" customHeight="1">
      <c r="B31" s="91"/>
      <c r="C31" s="91"/>
      <c r="D31" s="91"/>
      <c r="E31" s="91"/>
      <c r="F31" s="108"/>
      <c r="G31" s="108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  <pageSetUpPr fitToPage="1"/>
  </sheetPr>
  <dimension ref="B1:L73"/>
  <sheetViews>
    <sheetView showGridLines="0" topLeftCell="A61" zoomScale="90" zoomScaleNormal="90" workbookViewId="0">
      <selection activeCell="O14" sqref="O14"/>
    </sheetView>
  </sheetViews>
  <sheetFormatPr baseColWidth="10" defaultColWidth="11.42578125" defaultRowHeight="12.75"/>
  <cols>
    <col min="1" max="1" width="6.140625" style="90" customWidth="1"/>
    <col min="2" max="2" width="71.85546875" style="90" customWidth="1"/>
    <col min="3" max="3" width="5.5703125" style="90" customWidth="1"/>
    <col min="4" max="5" width="12.42578125" style="90" bestFit="1" customWidth="1"/>
    <col min="6" max="6" width="4.85546875" style="90" customWidth="1"/>
    <col min="7" max="7" width="12" style="277" bestFit="1" customWidth="1"/>
    <col min="8" max="8" width="11.42578125" style="279"/>
    <col min="9" max="9" width="11.42578125" style="90"/>
    <col min="10" max="10" width="13.5703125" style="90" customWidth="1"/>
    <col min="11" max="11" width="12.42578125" style="90" bestFit="1" customWidth="1"/>
    <col min="12" max="16384" width="11.42578125" style="90"/>
  </cols>
  <sheetData>
    <row r="1" spans="2:12" ht="13.5" thickBot="1"/>
    <row r="2" spans="2:12" s="91" customFormat="1" ht="12" customHeight="1">
      <c r="B2" s="473" t="s">
        <v>222</v>
      </c>
      <c r="C2" s="475" t="s">
        <v>106</v>
      </c>
      <c r="D2" s="253">
        <f>+Resultado!D3</f>
        <v>45565</v>
      </c>
      <c r="E2" s="254">
        <f>+Resultado!E3</f>
        <v>45199</v>
      </c>
      <c r="G2" s="470" t="s">
        <v>237</v>
      </c>
      <c r="H2" s="471"/>
    </row>
    <row r="3" spans="2:12" s="91" customFormat="1" ht="12" customHeight="1">
      <c r="B3" s="474"/>
      <c r="C3" s="476"/>
      <c r="D3" s="92" t="s">
        <v>8</v>
      </c>
      <c r="E3" s="93" t="s">
        <v>8</v>
      </c>
      <c r="G3" s="289" t="s">
        <v>8</v>
      </c>
      <c r="H3" s="290" t="s">
        <v>70</v>
      </c>
    </row>
    <row r="4" spans="2:12" s="96" customFormat="1" ht="21" customHeight="1">
      <c r="B4" s="86" t="s">
        <v>134</v>
      </c>
      <c r="C4" s="87"/>
      <c r="D4" s="298">
        <f>+VLOOKUP(B4,[3]Flujo!$B:$E,3,0)</f>
        <v>579308070</v>
      </c>
      <c r="E4" s="298">
        <f>+VLOOKUP(B4,[3]Flujo!$B:$E,4,0)</f>
        <v>562603049</v>
      </c>
      <c r="F4" s="95"/>
      <c r="G4" s="261">
        <f>ROUND(+(D4-E4),0)</f>
        <v>16705021</v>
      </c>
      <c r="H4" s="291">
        <f>+IFERROR(G4/E4,1)</f>
        <v>2.9692375520702165E-2</v>
      </c>
      <c r="K4" s="255"/>
      <c r="L4" s="255"/>
    </row>
    <row r="5" spans="2:12" s="96" customFormat="1" ht="21" customHeight="1">
      <c r="B5" s="86" t="s">
        <v>136</v>
      </c>
      <c r="C5" s="87"/>
      <c r="D5" s="298">
        <f>+VLOOKUP(B5,[3]Flujo!$B:$E,3,0)</f>
        <v>0</v>
      </c>
      <c r="E5" s="298">
        <f>+VLOOKUP(B5,[3]Flujo!$B:$E,4,0)</f>
        <v>0</v>
      </c>
      <c r="F5" s="95"/>
      <c r="G5" s="261">
        <f t="shared" ref="G5:G62" si="0">ROUND(+(D5-E5),0)</f>
        <v>0</v>
      </c>
      <c r="H5" s="291"/>
    </row>
    <row r="6" spans="2:12" s="96" customFormat="1" ht="21" customHeight="1">
      <c r="B6" s="86" t="s">
        <v>135</v>
      </c>
      <c r="C6" s="87"/>
      <c r="D6" s="298">
        <f>+VLOOKUP(B6,[3]Flujo!$B:$E,3,0)</f>
        <v>0</v>
      </c>
      <c r="E6" s="298">
        <f>+VLOOKUP(B6,[3]Flujo!$B:$E,4,0)</f>
        <v>0</v>
      </c>
      <c r="F6" s="95"/>
      <c r="G6" s="261">
        <f t="shared" si="0"/>
        <v>0</v>
      </c>
      <c r="H6" s="291"/>
    </row>
    <row r="7" spans="2:12" s="96" customFormat="1" ht="21" customHeight="1">
      <c r="B7" s="86" t="s">
        <v>137</v>
      </c>
      <c r="C7" s="87"/>
      <c r="D7" s="298">
        <f>+VLOOKUP(B7,[3]Flujo!$B:$E,3,0)</f>
        <v>0</v>
      </c>
      <c r="E7" s="298">
        <f>+VLOOKUP(B7,[3]Flujo!$B:$E,4,0)</f>
        <v>0</v>
      </c>
      <c r="F7" s="95"/>
      <c r="G7" s="261">
        <f t="shared" si="0"/>
        <v>0</v>
      </c>
      <c r="H7" s="291">
        <f t="shared" ref="H7:H64" si="1">+IFERROR(G7/E7,1)</f>
        <v>1</v>
      </c>
      <c r="K7" s="255"/>
      <c r="L7" s="255"/>
    </row>
    <row r="8" spans="2:12" s="96" customFormat="1" ht="21" customHeight="1">
      <c r="B8" s="86" t="s">
        <v>138</v>
      </c>
      <c r="C8" s="87"/>
      <c r="D8" s="298">
        <f>+VLOOKUP(B8,[3]Flujo!$B:$E,3,0)</f>
        <v>4132331</v>
      </c>
      <c r="E8" s="298">
        <f>+VLOOKUP(B8,[3]Flujo!$B:$E,4,0)</f>
        <v>3567178</v>
      </c>
      <c r="F8" s="95"/>
      <c r="G8" s="261">
        <f t="shared" si="0"/>
        <v>565153</v>
      </c>
      <c r="H8" s="291">
        <f t="shared" si="1"/>
        <v>0.15843139871349285</v>
      </c>
      <c r="K8" s="255"/>
      <c r="L8" s="255"/>
    </row>
    <row r="9" spans="2:12" s="96" customFormat="1" ht="21" customHeight="1">
      <c r="B9" s="88" t="s">
        <v>133</v>
      </c>
      <c r="C9" s="87"/>
      <c r="D9" s="299">
        <f>SUM(D4:D8)</f>
        <v>583440401</v>
      </c>
      <c r="E9" s="300">
        <f>SUM(E4:E8)</f>
        <v>566170227</v>
      </c>
      <c r="F9" s="95"/>
      <c r="G9" s="262">
        <f t="shared" si="0"/>
        <v>17270174</v>
      </c>
      <c r="H9" s="293">
        <f t="shared" si="1"/>
        <v>3.0503500849047648E-2</v>
      </c>
      <c r="K9" s="255"/>
      <c r="L9" s="255"/>
    </row>
    <row r="10" spans="2:12" s="96" customFormat="1" ht="21" customHeight="1">
      <c r="B10" s="86" t="s">
        <v>139</v>
      </c>
      <c r="C10" s="87"/>
      <c r="D10" s="298">
        <f>+VLOOKUP(B10,[3]Flujo!$B:$E,3,0)</f>
        <v>-214910780</v>
      </c>
      <c r="E10" s="298">
        <f>+VLOOKUP(B10,[3]Flujo!$B:$E,4,0)</f>
        <v>-203653004</v>
      </c>
      <c r="F10" s="95"/>
      <c r="G10" s="345">
        <f t="shared" si="0"/>
        <v>-11257776</v>
      </c>
      <c r="H10" s="291">
        <f t="shared" si="1"/>
        <v>5.5279204229170126E-2</v>
      </c>
      <c r="K10" s="255"/>
      <c r="L10" s="255"/>
    </row>
    <row r="11" spans="2:12" s="96" customFormat="1" ht="21" customHeight="1">
      <c r="B11" s="86" t="s">
        <v>140</v>
      </c>
      <c r="C11" s="87"/>
      <c r="D11" s="298">
        <f>+VLOOKUP(B11,[3]Flujo!$B:$E,3,0)</f>
        <v>0</v>
      </c>
      <c r="E11" s="298">
        <f>+VLOOKUP(B11,[3]Flujo!$B:$E,4,0)</f>
        <v>0</v>
      </c>
      <c r="F11" s="95"/>
      <c r="G11" s="261">
        <f t="shared" si="0"/>
        <v>0</v>
      </c>
      <c r="H11" s="291">
        <f t="shared" si="1"/>
        <v>1</v>
      </c>
      <c r="K11" s="255"/>
      <c r="L11" s="255"/>
    </row>
    <row r="12" spans="2:12" s="96" customFormat="1" ht="21" customHeight="1">
      <c r="B12" s="86" t="s">
        <v>141</v>
      </c>
      <c r="C12" s="89"/>
      <c r="D12" s="298">
        <f>+VLOOKUP(B12,[3]Flujo!$B:$E,3,0)</f>
        <v>-57137975</v>
      </c>
      <c r="E12" s="298">
        <f>+VLOOKUP(B12,[3]Flujo!$B:$E,4,0)</f>
        <v>-59161070</v>
      </c>
      <c r="F12" s="95"/>
      <c r="G12" s="261">
        <f t="shared" si="0"/>
        <v>2023095</v>
      </c>
      <c r="H12" s="291">
        <f t="shared" si="1"/>
        <v>-3.4196389619051852E-2</v>
      </c>
      <c r="K12" s="255"/>
      <c r="L12" s="255"/>
    </row>
    <row r="13" spans="2:12" s="96" customFormat="1" ht="21" customHeight="1">
      <c r="B13" s="86" t="s">
        <v>142</v>
      </c>
      <c r="C13" s="87"/>
      <c r="D13" s="298">
        <f>+VLOOKUP(B13,[3]Flujo!$B:$E,3,0)</f>
        <v>0</v>
      </c>
      <c r="E13" s="298">
        <f>+VLOOKUP(B13,[3]Flujo!$B:$E,4,0)</f>
        <v>0</v>
      </c>
      <c r="F13" s="95"/>
      <c r="G13" s="345">
        <f>ROUND(+(D13-E13),0)</f>
        <v>0</v>
      </c>
      <c r="H13" s="291">
        <f t="shared" si="1"/>
        <v>1</v>
      </c>
      <c r="K13" s="255"/>
      <c r="L13" s="255"/>
    </row>
    <row r="14" spans="2:12" s="96" customFormat="1" ht="21" customHeight="1">
      <c r="B14" s="86" t="s">
        <v>143</v>
      </c>
      <c r="C14" s="87"/>
      <c r="D14" s="298">
        <f>+VLOOKUP(B14,[3]Flujo!$B:$E,3,0)</f>
        <v>-45239341</v>
      </c>
      <c r="E14" s="298">
        <f>+VLOOKUP(B14,[3]Flujo!$B:$E,4,0)</f>
        <v>-50658390</v>
      </c>
      <c r="F14" s="95"/>
      <c r="G14" s="261">
        <f t="shared" si="0"/>
        <v>5419049</v>
      </c>
      <c r="H14" s="291">
        <f t="shared" si="1"/>
        <v>-0.10697238897643609</v>
      </c>
      <c r="I14" s="96" t="s">
        <v>317</v>
      </c>
      <c r="K14" s="255"/>
      <c r="L14" s="255"/>
    </row>
    <row r="15" spans="2:12" s="96" customFormat="1" ht="21" customHeight="1">
      <c r="B15" s="88" t="s">
        <v>223</v>
      </c>
      <c r="C15" s="87"/>
      <c r="D15" s="299">
        <f>SUM(D10:D14)</f>
        <v>-317288096</v>
      </c>
      <c r="E15" s="300">
        <f>SUM(E10:E14)</f>
        <v>-313472464</v>
      </c>
      <c r="F15" s="95"/>
      <c r="G15" s="262">
        <f t="shared" si="0"/>
        <v>-3815632</v>
      </c>
      <c r="H15" s="293">
        <f t="shared" si="1"/>
        <v>1.2172144089823469E-2</v>
      </c>
      <c r="K15" s="255"/>
      <c r="L15" s="255"/>
    </row>
    <row r="16" spans="2:12" s="96" customFormat="1" ht="21" customHeight="1">
      <c r="B16" s="86" t="s">
        <v>354</v>
      </c>
      <c r="C16" s="87"/>
      <c r="D16" s="298">
        <f>+VLOOKUP(B16,[3]Flujo!$B:$E,3,0)</f>
        <v>0</v>
      </c>
      <c r="E16" s="298">
        <f>+VLOOKUP(B16,[3]Flujo!$B:$E,4,0)</f>
        <v>0</v>
      </c>
      <c r="F16" s="95"/>
      <c r="G16" s="261"/>
      <c r="H16" s="291">
        <f t="shared" si="1"/>
        <v>1</v>
      </c>
      <c r="K16" s="255"/>
      <c r="L16" s="255"/>
    </row>
    <row r="17" spans="2:12" s="96" customFormat="1" ht="21" customHeight="1">
      <c r="B17" s="86" t="s">
        <v>355</v>
      </c>
      <c r="C17" s="87"/>
      <c r="D17" s="298">
        <f>+VLOOKUP(B17,[3]Flujo!$B:$E,3,0)</f>
        <v>0</v>
      </c>
      <c r="E17" s="298">
        <f>+VLOOKUP(B17,[3]Flujo!$B:$E,4,0)</f>
        <v>0</v>
      </c>
      <c r="F17" s="95"/>
      <c r="G17" s="261"/>
      <c r="H17" s="291">
        <f t="shared" si="1"/>
        <v>1</v>
      </c>
      <c r="K17" s="255"/>
      <c r="L17" s="255"/>
    </row>
    <row r="18" spans="2:12" s="96" customFormat="1" ht="21" customHeight="1">
      <c r="B18" s="86" t="s">
        <v>356</v>
      </c>
      <c r="C18" s="87"/>
      <c r="D18" s="298">
        <f>+VLOOKUP(B18,[3]Flujo!$B:$E,3,0)</f>
        <v>-29541220</v>
      </c>
      <c r="E18" s="298">
        <f>+VLOOKUP(B18,[3]Flujo!$B:$E,4,0)</f>
        <v>-32414633</v>
      </c>
      <c r="F18" s="95"/>
      <c r="G18" s="345">
        <f t="shared" si="0"/>
        <v>2873413</v>
      </c>
      <c r="H18" s="291">
        <f t="shared" si="1"/>
        <v>-8.8645550915230173E-2</v>
      </c>
      <c r="K18" s="255"/>
      <c r="L18" s="255"/>
    </row>
    <row r="19" spans="2:12" s="96" customFormat="1" ht="21" customHeight="1">
      <c r="B19" s="86" t="s">
        <v>357</v>
      </c>
      <c r="C19" s="87"/>
      <c r="D19" s="298">
        <f>+VLOOKUP(B19,[3]Flujo!$B:$E,3,0)</f>
        <v>4747284</v>
      </c>
      <c r="E19" s="298">
        <f>+VLOOKUP(B19,[3]Flujo!$B:$E,4,0)</f>
        <v>13380268</v>
      </c>
      <c r="F19" s="95"/>
      <c r="G19" s="261">
        <f t="shared" si="0"/>
        <v>-8632984</v>
      </c>
      <c r="H19" s="291">
        <f t="shared" si="1"/>
        <v>-0.64520262224941982</v>
      </c>
      <c r="I19" s="96" t="s">
        <v>321</v>
      </c>
      <c r="K19" s="255"/>
      <c r="L19" s="255"/>
    </row>
    <row r="20" spans="2:12" s="96" customFormat="1" ht="21" customHeight="1">
      <c r="B20" s="86" t="s">
        <v>353</v>
      </c>
      <c r="C20" s="87"/>
      <c r="D20" s="298">
        <f>+VLOOKUP(B20,[3]Flujo!$B:$E,3,0)</f>
        <v>-22640129</v>
      </c>
      <c r="E20" s="298">
        <f>+VLOOKUP(B20,[3]Flujo!$B:$E,4,0)</f>
        <v>-41995658</v>
      </c>
      <c r="F20" s="95"/>
      <c r="G20" s="345">
        <f t="shared" si="0"/>
        <v>19355529</v>
      </c>
      <c r="H20" s="291">
        <f t="shared" si="1"/>
        <v>-0.4608935761882812</v>
      </c>
      <c r="K20" s="255"/>
      <c r="L20" s="255"/>
    </row>
    <row r="21" spans="2:12" s="96" customFormat="1" ht="21" customHeight="1">
      <c r="B21" s="86" t="s">
        <v>358</v>
      </c>
      <c r="C21" s="87"/>
      <c r="D21" s="298">
        <f>+VLOOKUP(B21,[3]Flujo!$B:$E,3,0)</f>
        <v>-15479773</v>
      </c>
      <c r="E21" s="298">
        <f>+VLOOKUP(B21,[3]Flujo!$B:$E,4,0)</f>
        <v>-19065397</v>
      </c>
      <c r="F21" s="95"/>
      <c r="G21" s="261">
        <f t="shared" si="0"/>
        <v>3585624</v>
      </c>
      <c r="H21" s="291">
        <f t="shared" si="1"/>
        <v>-0.188069726531265</v>
      </c>
      <c r="K21" s="255"/>
      <c r="L21" s="255"/>
    </row>
    <row r="22" spans="2:12" s="96" customFormat="1" ht="21" customHeight="1" thickBot="1">
      <c r="B22" s="88" t="s">
        <v>306</v>
      </c>
      <c r="C22" s="87"/>
      <c r="D22" s="300">
        <f>SUM(D16:D21)</f>
        <v>-62913838</v>
      </c>
      <c r="E22" s="300">
        <f>SUM(E16:E21)</f>
        <v>-80095420</v>
      </c>
      <c r="F22" s="95"/>
      <c r="G22" s="262">
        <f t="shared" si="0"/>
        <v>17181582</v>
      </c>
      <c r="H22" s="293">
        <f t="shared" si="1"/>
        <v>-0.21451391352963753</v>
      </c>
      <c r="K22" s="255"/>
      <c r="L22" s="255"/>
    </row>
    <row r="23" spans="2:12" s="96" customFormat="1" ht="21" customHeight="1" thickBot="1">
      <c r="B23" s="98" t="s">
        <v>307</v>
      </c>
      <c r="C23" s="99"/>
      <c r="D23" s="301">
        <f>+D9+D15+D22</f>
        <v>203238467</v>
      </c>
      <c r="E23" s="301">
        <f>+E9+E15+E22</f>
        <v>172602343</v>
      </c>
      <c r="F23" s="95"/>
      <c r="G23" s="283">
        <f>ROUND(+(D23-E23),0)</f>
        <v>30636124</v>
      </c>
      <c r="H23" s="294">
        <f t="shared" si="1"/>
        <v>0.17749541209878014</v>
      </c>
      <c r="K23" s="255"/>
      <c r="L23" s="255"/>
    </row>
    <row r="24" spans="2:12" s="96" customFormat="1" ht="21" customHeight="1">
      <c r="B24" s="97" t="s">
        <v>148</v>
      </c>
      <c r="C24" s="94"/>
      <c r="D24" s="298">
        <f>+VLOOKUP(B24,[3]Flujo!$B:$E,3,0)</f>
        <v>0</v>
      </c>
      <c r="E24" s="298">
        <f>+VLOOKUP(B24,[3]Flujo!$B:$E,4,0)</f>
        <v>0</v>
      </c>
      <c r="F24" s="95"/>
      <c r="G24" s="261">
        <f t="shared" si="0"/>
        <v>0</v>
      </c>
      <c r="H24" s="291">
        <f t="shared" si="1"/>
        <v>1</v>
      </c>
      <c r="K24" s="255"/>
      <c r="L24" s="255"/>
    </row>
    <row r="25" spans="2:12" s="96" customFormat="1" ht="21" customHeight="1">
      <c r="B25" s="97" t="s">
        <v>149</v>
      </c>
      <c r="C25" s="94"/>
      <c r="D25" s="298">
        <f>+VLOOKUP(B25,[3]Flujo!$B:$E,3,0)</f>
        <v>0</v>
      </c>
      <c r="E25" s="298">
        <f>+VLOOKUP(B25,[3]Flujo!$B:$E,4,0)</f>
        <v>0</v>
      </c>
      <c r="F25" s="95"/>
      <c r="G25" s="261">
        <f t="shared" si="0"/>
        <v>0</v>
      </c>
      <c r="H25" s="291">
        <f t="shared" si="1"/>
        <v>1</v>
      </c>
      <c r="K25" s="255"/>
      <c r="L25" s="255"/>
    </row>
    <row r="26" spans="2:12" s="96" customFormat="1" ht="21" customHeight="1">
      <c r="B26" s="97" t="s">
        <v>150</v>
      </c>
      <c r="C26" s="94"/>
      <c r="D26" s="298">
        <f>+VLOOKUP(B26,[3]Flujo!$B:$E,3,0)</f>
        <v>0</v>
      </c>
      <c r="E26" s="298">
        <f>+VLOOKUP(B26,[3]Flujo!$B:$E,4,0)</f>
        <v>0</v>
      </c>
      <c r="F26" s="95"/>
      <c r="G26" s="261">
        <f t="shared" si="0"/>
        <v>0</v>
      </c>
      <c r="H26" s="291">
        <f t="shared" si="1"/>
        <v>1</v>
      </c>
      <c r="K26" s="255"/>
      <c r="L26" s="255"/>
    </row>
    <row r="27" spans="2:12" s="96" customFormat="1" ht="21" customHeight="1">
      <c r="B27" s="97" t="s">
        <v>151</v>
      </c>
      <c r="C27" s="94"/>
      <c r="D27" s="298">
        <f>+VLOOKUP(B27,[3]Flujo!$B:$E,3,0)</f>
        <v>0</v>
      </c>
      <c r="E27" s="298">
        <f>+VLOOKUP(B27,[3]Flujo!$B:$E,4,0)</f>
        <v>0</v>
      </c>
      <c r="F27" s="95"/>
      <c r="G27" s="261">
        <f t="shared" si="0"/>
        <v>0</v>
      </c>
      <c r="H27" s="291">
        <f t="shared" si="1"/>
        <v>1</v>
      </c>
      <c r="K27" s="255"/>
      <c r="L27" s="255"/>
    </row>
    <row r="28" spans="2:12" s="96" customFormat="1" ht="21" customHeight="1">
      <c r="B28" s="97" t="s">
        <v>152</v>
      </c>
      <c r="C28" s="94"/>
      <c r="D28" s="298">
        <f>+VLOOKUP(B28,[3]Flujo!$B:$E,3,0)</f>
        <v>0</v>
      </c>
      <c r="E28" s="298">
        <f>+VLOOKUP(B28,[3]Flujo!$B:$E,4,0)</f>
        <v>0</v>
      </c>
      <c r="F28" s="95"/>
      <c r="G28" s="261">
        <f t="shared" si="0"/>
        <v>0</v>
      </c>
      <c r="H28" s="291">
        <f t="shared" si="1"/>
        <v>1</v>
      </c>
      <c r="K28" s="255"/>
      <c r="L28" s="255"/>
    </row>
    <row r="29" spans="2:12" s="96" customFormat="1" ht="21" customHeight="1">
      <c r="B29" s="97" t="s">
        <v>153</v>
      </c>
      <c r="C29" s="94"/>
      <c r="D29" s="298">
        <f>+VLOOKUP(B29,[3]Flujo!$B:$E,3,0)</f>
        <v>0</v>
      </c>
      <c r="E29" s="298">
        <f>+VLOOKUP(B29,[3]Flujo!$B:$E,4,0)</f>
        <v>0</v>
      </c>
      <c r="F29" s="95"/>
      <c r="G29" s="261">
        <f t="shared" si="0"/>
        <v>0</v>
      </c>
      <c r="H29" s="291">
        <f t="shared" si="1"/>
        <v>1</v>
      </c>
      <c r="K29" s="255"/>
      <c r="L29" s="255"/>
    </row>
    <row r="30" spans="2:12" s="96" customFormat="1" ht="21" customHeight="1">
      <c r="B30" s="97" t="s">
        <v>154</v>
      </c>
      <c r="C30" s="94"/>
      <c r="D30" s="298">
        <f>+VLOOKUP(B30,[3]Flujo!$B:$E,3,0)</f>
        <v>0</v>
      </c>
      <c r="E30" s="298">
        <f>+VLOOKUP(B30,[3]Flujo!$B:$E,4,0)</f>
        <v>0</v>
      </c>
      <c r="F30" s="95"/>
      <c r="G30" s="261">
        <f t="shared" si="0"/>
        <v>0</v>
      </c>
      <c r="H30" s="291">
        <f t="shared" si="1"/>
        <v>1</v>
      </c>
      <c r="K30" s="255"/>
      <c r="L30" s="255"/>
    </row>
    <row r="31" spans="2:12" s="96" customFormat="1" ht="21" customHeight="1">
      <c r="B31" s="97" t="s">
        <v>155</v>
      </c>
      <c r="C31" s="94"/>
      <c r="D31" s="298">
        <f>+VLOOKUP(B31,[3]Flujo!$B:$E,3,0)</f>
        <v>0</v>
      </c>
      <c r="E31" s="298">
        <f>+VLOOKUP(B31,[3]Flujo!$B:$E,4,0)</f>
        <v>0</v>
      </c>
      <c r="F31" s="95"/>
      <c r="G31" s="261">
        <f t="shared" si="0"/>
        <v>0</v>
      </c>
      <c r="H31" s="291">
        <f t="shared" si="1"/>
        <v>1</v>
      </c>
      <c r="K31" s="255"/>
      <c r="L31" s="255"/>
    </row>
    <row r="32" spans="2:12" s="96" customFormat="1" ht="21" customHeight="1">
      <c r="B32" s="97" t="s">
        <v>289</v>
      </c>
      <c r="C32" s="94"/>
      <c r="D32" s="298">
        <f>+VLOOKUP(B32,[3]Flujo!$B:$E,3,0)</f>
        <v>4056384</v>
      </c>
      <c r="E32" s="298">
        <f>+VLOOKUP(B32,[3]Flujo!$B:$E,4,0)</f>
        <v>4998196</v>
      </c>
      <c r="F32" s="95"/>
      <c r="G32" s="261">
        <f t="shared" si="0"/>
        <v>-941812</v>
      </c>
      <c r="H32" s="291">
        <f t="shared" si="1"/>
        <v>-0.18843038568315448</v>
      </c>
      <c r="K32" s="255"/>
      <c r="L32" s="255"/>
    </row>
    <row r="33" spans="2:12" s="96" customFormat="1" ht="21" customHeight="1">
      <c r="B33" s="97" t="s">
        <v>156</v>
      </c>
      <c r="C33" s="94"/>
      <c r="D33" s="298">
        <f>+VLOOKUP(B33,[3]Flujo!$B:$E,3,0)</f>
        <v>-142673331</v>
      </c>
      <c r="E33" s="298">
        <f>+VLOOKUP(B33,[3]Flujo!$B:$E,4,0)</f>
        <v>-102470131</v>
      </c>
      <c r="F33" s="95"/>
      <c r="G33" s="261">
        <f t="shared" si="0"/>
        <v>-40203200</v>
      </c>
      <c r="H33" s="291">
        <f t="shared" si="1"/>
        <v>0.39234067144893181</v>
      </c>
      <c r="K33" s="255"/>
      <c r="L33" s="255"/>
    </row>
    <row r="34" spans="2:12" s="96" customFormat="1" ht="21" customHeight="1">
      <c r="B34" s="97" t="s">
        <v>235</v>
      </c>
      <c r="C34" s="94"/>
      <c r="D34" s="298">
        <f>+VLOOKUP(B34,[3]Flujo!$B:$E,3,0)</f>
        <v>0</v>
      </c>
      <c r="E34" s="298">
        <f>+VLOOKUP(B34,[3]Flujo!$B:$E,4,0)</f>
        <v>0</v>
      </c>
      <c r="F34" s="95"/>
      <c r="G34" s="261">
        <f t="shared" si="0"/>
        <v>0</v>
      </c>
      <c r="H34" s="291">
        <f t="shared" si="1"/>
        <v>1</v>
      </c>
      <c r="K34" s="255"/>
      <c r="L34" s="255"/>
    </row>
    <row r="35" spans="2:12" s="96" customFormat="1" ht="21" customHeight="1">
      <c r="B35" s="97" t="s">
        <v>157</v>
      </c>
      <c r="C35" s="94"/>
      <c r="D35" s="298">
        <f>+VLOOKUP(B35,[3]Flujo!$B:$E,3,0)</f>
        <v>-2856262</v>
      </c>
      <c r="E35" s="298">
        <f>+VLOOKUP(B35,[3]Flujo!$B:$E,4,0)</f>
        <v>-3091788</v>
      </c>
      <c r="F35" s="95"/>
      <c r="G35" s="261">
        <f t="shared" si="0"/>
        <v>235526</v>
      </c>
      <c r="H35" s="291">
        <f t="shared" si="1"/>
        <v>-7.6177926817750763E-2</v>
      </c>
      <c r="K35" s="255"/>
      <c r="L35" s="255"/>
    </row>
    <row r="36" spans="2:12" s="96" customFormat="1" ht="21" customHeight="1">
      <c r="B36" s="97" t="s">
        <v>224</v>
      </c>
      <c r="C36" s="94"/>
      <c r="D36" s="298">
        <f>+VLOOKUP(B36,[3]Flujo!$B:$E,3,0)</f>
        <v>0</v>
      </c>
      <c r="E36" s="298">
        <f>+VLOOKUP(B36,[3]Flujo!$B:$E,4,0)</f>
        <v>0</v>
      </c>
      <c r="F36" s="95"/>
      <c r="G36" s="261">
        <f t="shared" si="0"/>
        <v>0</v>
      </c>
      <c r="H36" s="291">
        <f t="shared" si="1"/>
        <v>1</v>
      </c>
      <c r="K36" s="255"/>
      <c r="L36" s="255"/>
    </row>
    <row r="37" spans="2:12" s="96" customFormat="1" ht="21" customHeight="1">
      <c r="B37" s="97" t="s">
        <v>158</v>
      </c>
      <c r="C37" s="94"/>
      <c r="D37" s="298">
        <f>+VLOOKUP(B37,[3]Flujo!$B:$E,3,0)</f>
        <v>0</v>
      </c>
      <c r="E37" s="298">
        <f>+VLOOKUP(B37,[3]Flujo!$B:$E,4,0)</f>
        <v>0</v>
      </c>
      <c r="F37" s="95"/>
      <c r="G37" s="261">
        <f t="shared" si="0"/>
        <v>0</v>
      </c>
      <c r="H37" s="291">
        <f t="shared" si="1"/>
        <v>1</v>
      </c>
      <c r="K37" s="255"/>
      <c r="L37" s="255"/>
    </row>
    <row r="38" spans="2:12" s="96" customFormat="1" ht="21" customHeight="1">
      <c r="B38" s="97" t="s">
        <v>359</v>
      </c>
      <c r="C38" s="94"/>
      <c r="D38" s="298">
        <f>+VLOOKUP(B38,[3]Flujo!$B:$E,3,0)</f>
        <v>0</v>
      </c>
      <c r="E38" s="298">
        <f>+VLOOKUP(B38,[3]Flujo!$B:$E,4,0)</f>
        <v>0</v>
      </c>
      <c r="F38" s="95"/>
      <c r="G38" s="261">
        <f t="shared" si="0"/>
        <v>0</v>
      </c>
      <c r="H38" s="291">
        <f t="shared" si="1"/>
        <v>1</v>
      </c>
      <c r="K38" s="255"/>
      <c r="L38" s="255"/>
    </row>
    <row r="39" spans="2:12" s="96" customFormat="1" ht="21" customHeight="1">
      <c r="B39" s="97" t="s">
        <v>160</v>
      </c>
      <c r="C39" s="94"/>
      <c r="D39" s="298">
        <f>+VLOOKUP(B39,[3]Flujo!$B:$E,3,0)</f>
        <v>0</v>
      </c>
      <c r="E39" s="298">
        <f>+VLOOKUP(B39,[3]Flujo!$B:$E,4,0)</f>
        <v>0</v>
      </c>
      <c r="F39" s="95"/>
      <c r="G39" s="261">
        <f t="shared" si="0"/>
        <v>0</v>
      </c>
      <c r="H39" s="291">
        <f t="shared" si="1"/>
        <v>1</v>
      </c>
      <c r="K39" s="255"/>
      <c r="L39" s="255"/>
    </row>
    <row r="40" spans="2:12" s="96" customFormat="1" ht="21" customHeight="1">
      <c r="B40" s="97" t="s">
        <v>161</v>
      </c>
      <c r="C40" s="94"/>
      <c r="D40" s="298">
        <f>+VLOOKUP(B40,[3]Flujo!$B:$E,3,0)</f>
        <v>0</v>
      </c>
      <c r="E40" s="298">
        <f>+VLOOKUP(B40,[3]Flujo!$B:$E,4,0)</f>
        <v>0</v>
      </c>
      <c r="F40" s="95"/>
      <c r="G40" s="261">
        <f t="shared" si="0"/>
        <v>0</v>
      </c>
      <c r="H40" s="291">
        <f t="shared" si="1"/>
        <v>1</v>
      </c>
      <c r="K40" s="255"/>
      <c r="L40" s="255"/>
    </row>
    <row r="41" spans="2:12" s="96" customFormat="1" ht="21" customHeight="1">
      <c r="B41" s="97" t="s">
        <v>162</v>
      </c>
      <c r="C41" s="94"/>
      <c r="D41" s="298">
        <f>+VLOOKUP(B41,[3]Flujo!$B:$E,3,0)</f>
        <v>0</v>
      </c>
      <c r="E41" s="298">
        <f>+VLOOKUP(B41,[3]Flujo!$B:$E,4,0)</f>
        <v>0</v>
      </c>
      <c r="F41" s="95"/>
      <c r="G41" s="261">
        <f t="shared" si="0"/>
        <v>0</v>
      </c>
      <c r="H41" s="291">
        <f t="shared" si="1"/>
        <v>1</v>
      </c>
      <c r="K41" s="255"/>
      <c r="L41" s="255"/>
    </row>
    <row r="42" spans="2:12" s="96" customFormat="1" ht="21" customHeight="1">
      <c r="B42" s="97" t="s">
        <v>163</v>
      </c>
      <c r="C42" s="94"/>
      <c r="D42" s="298">
        <f>+VLOOKUP(B42,[3]Flujo!$B:$E,3,0)</f>
        <v>0</v>
      </c>
      <c r="E42" s="298">
        <f>+VLOOKUP(B42,[3]Flujo!$B:$E,4,0)</f>
        <v>0</v>
      </c>
      <c r="F42" s="95"/>
      <c r="G42" s="261">
        <f t="shared" si="0"/>
        <v>0</v>
      </c>
      <c r="H42" s="291">
        <f t="shared" si="1"/>
        <v>1</v>
      </c>
      <c r="K42" s="255"/>
      <c r="L42" s="255"/>
    </row>
    <row r="43" spans="2:12" s="96" customFormat="1" ht="21" customHeight="1">
      <c r="B43" s="97" t="s">
        <v>225</v>
      </c>
      <c r="C43" s="94"/>
      <c r="D43" s="298">
        <f>+VLOOKUP(B43,[3]Flujo!$B:$E,3,0)</f>
        <v>0</v>
      </c>
      <c r="E43" s="298">
        <f>+VLOOKUP(B43,[3]Flujo!$B:$E,4,0)</f>
        <v>0</v>
      </c>
      <c r="F43" s="95"/>
      <c r="G43" s="261">
        <f t="shared" si="0"/>
        <v>0</v>
      </c>
      <c r="H43" s="291">
        <f t="shared" si="1"/>
        <v>1</v>
      </c>
      <c r="K43" s="255"/>
      <c r="L43" s="255"/>
    </row>
    <row r="44" spans="2:12" s="96" customFormat="1" ht="21" customHeight="1">
      <c r="B44" s="97" t="s">
        <v>145</v>
      </c>
      <c r="C44" s="94"/>
      <c r="D44" s="298">
        <f>+VLOOKUP(B44,[3]Flujo!$B:$E,3,0)</f>
        <v>0</v>
      </c>
      <c r="E44" s="298">
        <f>+VLOOKUP(B44,[3]Flujo!$B:$E,4,0)</f>
        <v>0</v>
      </c>
      <c r="F44" s="95"/>
      <c r="G44" s="261">
        <f t="shared" si="0"/>
        <v>0</v>
      </c>
      <c r="H44" s="291">
        <f t="shared" si="1"/>
        <v>1</v>
      </c>
      <c r="K44" s="255"/>
      <c r="L44" s="255"/>
    </row>
    <row r="45" spans="2:12" s="96" customFormat="1" ht="21" customHeight="1">
      <c r="B45" s="97" t="s">
        <v>147</v>
      </c>
      <c r="C45" s="94"/>
      <c r="D45" s="298">
        <f>+VLOOKUP(B45,[3]Flujo!$B:$E,3,0)</f>
        <v>0</v>
      </c>
      <c r="E45" s="298">
        <f>+VLOOKUP(B45,[3]Flujo!$B:$E,4,0)</f>
        <v>0</v>
      </c>
      <c r="F45" s="95"/>
      <c r="G45" s="261">
        <f t="shared" si="0"/>
        <v>0</v>
      </c>
      <c r="H45" s="291">
        <f t="shared" si="1"/>
        <v>1</v>
      </c>
      <c r="K45" s="255"/>
      <c r="L45" s="255"/>
    </row>
    <row r="46" spans="2:12" s="96" customFormat="1" ht="21" customHeight="1">
      <c r="B46" s="97" t="s">
        <v>360</v>
      </c>
      <c r="C46" s="94"/>
      <c r="D46" s="298">
        <f>+VLOOKUP(B46,[3]Flujo!$B:$E,3,0)</f>
        <v>0</v>
      </c>
      <c r="E46" s="298">
        <f>+VLOOKUP(B46,[3]Flujo!$B:$E,4,0)</f>
        <v>0</v>
      </c>
      <c r="F46" s="95"/>
      <c r="G46" s="261">
        <f t="shared" si="0"/>
        <v>0</v>
      </c>
      <c r="H46" s="291">
        <f t="shared" si="1"/>
        <v>1</v>
      </c>
      <c r="K46" s="255"/>
      <c r="L46" s="255"/>
    </row>
    <row r="47" spans="2:12" s="96" customFormat="1" ht="21" customHeight="1" thickBot="1">
      <c r="B47" s="97" t="s">
        <v>361</v>
      </c>
      <c r="C47" s="94"/>
      <c r="D47" s="298">
        <f>+VLOOKUP(B47,[3]Flujo!$B:$E,3,0)</f>
        <v>0</v>
      </c>
      <c r="E47" s="298">
        <f>+VLOOKUP(B47,[3]Flujo!$B:$E,4,0)</f>
        <v>128022</v>
      </c>
      <c r="F47" s="95"/>
      <c r="G47" s="261">
        <f t="shared" si="0"/>
        <v>-128022</v>
      </c>
      <c r="H47" s="291">
        <f t="shared" si="1"/>
        <v>-1</v>
      </c>
      <c r="K47" s="255"/>
      <c r="L47" s="255"/>
    </row>
    <row r="48" spans="2:12" s="96" customFormat="1" ht="21" customHeight="1" thickBot="1">
      <c r="B48" s="98" t="s">
        <v>226</v>
      </c>
      <c r="C48" s="99"/>
      <c r="D48" s="301">
        <f>SUM(D24:D47)</f>
        <v>-141473209</v>
      </c>
      <c r="E48" s="301">
        <f>SUM(E24:E47)</f>
        <v>-100435701</v>
      </c>
      <c r="F48" s="95"/>
      <c r="G48" s="283">
        <f t="shared" si="0"/>
        <v>-41037508</v>
      </c>
      <c r="H48" s="294">
        <f t="shared" si="1"/>
        <v>0.40859482824737792</v>
      </c>
      <c r="I48" s="341">
        <f>+D48-E48</f>
        <v>-41037508</v>
      </c>
      <c r="J48" s="96">
        <v>39575081</v>
      </c>
      <c r="K48" s="255"/>
      <c r="L48" s="255"/>
    </row>
    <row r="49" spans="2:12" s="96" customFormat="1" ht="21" customHeight="1">
      <c r="B49" s="97" t="s">
        <v>166</v>
      </c>
      <c r="C49" s="94"/>
      <c r="D49" s="298">
        <f>+VLOOKUP(B49,[3]Flujo!$B:$E,3,0)</f>
        <v>0</v>
      </c>
      <c r="E49" s="298">
        <f>+VLOOKUP(B49,[3]Flujo!$B:$E,4,0)</f>
        <v>0</v>
      </c>
      <c r="F49" s="95"/>
      <c r="G49" s="261">
        <f t="shared" si="0"/>
        <v>0</v>
      </c>
      <c r="H49" s="291">
        <f t="shared" si="1"/>
        <v>1</v>
      </c>
      <c r="K49" s="255"/>
      <c r="L49" s="255"/>
    </row>
    <row r="50" spans="2:12" s="96" customFormat="1" ht="21" customHeight="1">
      <c r="B50" s="97" t="s">
        <v>167</v>
      </c>
      <c r="C50" s="94"/>
      <c r="D50" s="298">
        <f>+VLOOKUP(B50,[3]Flujo!$B:$E,3,0)</f>
        <v>0</v>
      </c>
      <c r="E50" s="298">
        <f>+VLOOKUP(B50,[3]Flujo!$B:$E,4,0)</f>
        <v>0</v>
      </c>
      <c r="F50" s="95"/>
      <c r="G50" s="261">
        <f t="shared" si="0"/>
        <v>0</v>
      </c>
      <c r="H50" s="291">
        <f t="shared" si="1"/>
        <v>1</v>
      </c>
      <c r="K50" s="255"/>
      <c r="L50" s="255"/>
    </row>
    <row r="51" spans="2:12" s="96" customFormat="1" ht="21" customHeight="1">
      <c r="B51" s="97" t="s">
        <v>168</v>
      </c>
      <c r="C51" s="94"/>
      <c r="D51" s="298">
        <f>+VLOOKUP(B51,[3]Flujo!$B:$E,3,0)</f>
        <v>0</v>
      </c>
      <c r="E51" s="298">
        <f>+VLOOKUP(B51,[3]Flujo!$B:$E,4,0)</f>
        <v>0</v>
      </c>
      <c r="F51" s="95"/>
      <c r="G51" s="261">
        <f t="shared" si="0"/>
        <v>0</v>
      </c>
      <c r="H51" s="291">
        <f t="shared" si="1"/>
        <v>1</v>
      </c>
      <c r="K51" s="255"/>
      <c r="L51" s="255"/>
    </row>
    <row r="52" spans="2:12" s="96" customFormat="1" ht="21" customHeight="1">
      <c r="B52" s="97" t="s">
        <v>169</v>
      </c>
      <c r="C52" s="94"/>
      <c r="D52" s="298">
        <f>+VLOOKUP(B52,[3]Flujo!$B:$E,3,0)</f>
        <v>0</v>
      </c>
      <c r="E52" s="298">
        <f>+VLOOKUP(B52,[3]Flujo!$B:$E,4,0)</f>
        <v>0</v>
      </c>
      <c r="F52" s="95"/>
      <c r="G52" s="261">
        <f t="shared" si="0"/>
        <v>0</v>
      </c>
      <c r="H52" s="291">
        <f t="shared" si="1"/>
        <v>1</v>
      </c>
      <c r="K52" s="255"/>
      <c r="L52" s="255"/>
    </row>
    <row r="53" spans="2:12" s="96" customFormat="1" ht="21" customHeight="1">
      <c r="B53" s="97" t="s">
        <v>170</v>
      </c>
      <c r="C53" s="94"/>
      <c r="D53" s="298">
        <f>+VLOOKUP(B53,[3]Flujo!$B:$E,3,0)</f>
        <v>141124217</v>
      </c>
      <c r="E53" s="298">
        <f>+VLOOKUP(B53,[3]Flujo!$B:$E,4,0)</f>
        <v>8554804</v>
      </c>
      <c r="F53" s="95"/>
      <c r="G53" s="261">
        <f t="shared" si="0"/>
        <v>132569413</v>
      </c>
      <c r="H53" s="291">
        <f t="shared" si="1"/>
        <v>15.496487470665604</v>
      </c>
      <c r="J53" s="96">
        <v>39602985</v>
      </c>
      <c r="K53" s="255" t="s">
        <v>318</v>
      </c>
      <c r="L53" s="255"/>
    </row>
    <row r="54" spans="2:12" s="96" customFormat="1" ht="21" customHeight="1">
      <c r="B54" s="97" t="s">
        <v>171</v>
      </c>
      <c r="C54" s="94"/>
      <c r="D54" s="298">
        <f>+VLOOKUP(B54,[3]Flujo!$B:$E,3,0)</f>
        <v>0</v>
      </c>
      <c r="E54" s="298">
        <f>+VLOOKUP(B54,[3]Flujo!$B:$E,4,0)</f>
        <v>0</v>
      </c>
      <c r="F54" s="95"/>
      <c r="G54" s="261">
        <f t="shared" si="0"/>
        <v>0</v>
      </c>
      <c r="H54" s="291">
        <f t="shared" si="1"/>
        <v>1</v>
      </c>
      <c r="J54" s="96">
        <f>+J48-J53</f>
        <v>-27904</v>
      </c>
      <c r="K54" s="255"/>
      <c r="L54" s="255"/>
    </row>
    <row r="55" spans="2:12" s="96" customFormat="1" ht="21" customHeight="1">
      <c r="B55" s="252" t="s">
        <v>308</v>
      </c>
      <c r="C55" s="94"/>
      <c r="D55" s="299">
        <f>+SUM(D49:D54)</f>
        <v>141124217</v>
      </c>
      <c r="E55" s="299">
        <f>+SUM(E49:E54)</f>
        <v>8554804</v>
      </c>
      <c r="F55" s="95"/>
      <c r="G55" s="262">
        <f t="shared" si="0"/>
        <v>132569413</v>
      </c>
      <c r="H55" s="295">
        <f t="shared" si="1"/>
        <v>15.496487470665604</v>
      </c>
      <c r="J55" s="339">
        <v>3182087735</v>
      </c>
      <c r="K55" s="340"/>
      <c r="L55" s="255"/>
    </row>
    <row r="56" spans="2:12" s="96" customFormat="1" ht="21" customHeight="1">
      <c r="B56" s="97" t="s">
        <v>172</v>
      </c>
      <c r="C56" s="94"/>
      <c r="D56" s="298">
        <f>+VLOOKUP(B56,[3]Flujo!$B:$E,3,0)</f>
        <v>0</v>
      </c>
      <c r="E56" s="298">
        <f>+VLOOKUP(B56,[3]Flujo!$B:$E,4,0)</f>
        <v>0</v>
      </c>
      <c r="F56" s="95"/>
      <c r="G56" s="261">
        <f t="shared" si="0"/>
        <v>0</v>
      </c>
      <c r="H56" s="291">
        <f t="shared" si="1"/>
        <v>1</v>
      </c>
      <c r="J56" s="339"/>
      <c r="K56" s="340"/>
      <c r="L56" s="255"/>
    </row>
    <row r="57" spans="2:12" s="96" customFormat="1" ht="21" customHeight="1">
      <c r="B57" s="97" t="s">
        <v>227</v>
      </c>
      <c r="C57" s="94"/>
      <c r="D57" s="298">
        <f>+VLOOKUP(B57,[3]Flujo!$B:$E,3,0)</f>
        <v>-145472405</v>
      </c>
      <c r="E57" s="298">
        <f>+VLOOKUP(B57,[3]Flujo!$B:$E,4,0)</f>
        <v>-61747892</v>
      </c>
      <c r="F57" s="95"/>
      <c r="G57" s="261">
        <f t="shared" si="0"/>
        <v>-83724513</v>
      </c>
      <c r="H57" s="292">
        <f t="shared" si="1"/>
        <v>1.3559088462485489</v>
      </c>
      <c r="J57" s="339">
        <v>5298882643</v>
      </c>
      <c r="K57" s="340" t="s">
        <v>319</v>
      </c>
      <c r="L57" s="255"/>
    </row>
    <row r="58" spans="2:12" s="96" customFormat="1" ht="21" customHeight="1">
      <c r="B58" s="97" t="s">
        <v>173</v>
      </c>
      <c r="C58" s="94"/>
      <c r="D58" s="298">
        <f>+VLOOKUP(B58,[3]Flujo!$B:$E,3,0)</f>
        <v>0</v>
      </c>
      <c r="E58" s="298">
        <f>+VLOOKUP(B58,[3]Flujo!$B:$E,4,0)</f>
        <v>0</v>
      </c>
      <c r="F58" s="95"/>
      <c r="G58" s="261">
        <f t="shared" si="0"/>
        <v>0</v>
      </c>
      <c r="H58" s="292">
        <f t="shared" si="1"/>
        <v>1</v>
      </c>
      <c r="K58" s="255"/>
      <c r="L58" s="255"/>
    </row>
    <row r="59" spans="2:12" s="96" customFormat="1" ht="21" customHeight="1">
      <c r="B59" s="97" t="s">
        <v>174</v>
      </c>
      <c r="C59" s="94"/>
      <c r="D59" s="298">
        <f>+VLOOKUP(B59,[3]Flujo!$B:$E,3,0)</f>
        <v>0</v>
      </c>
      <c r="E59" s="298">
        <f>+VLOOKUP(B59,[3]Flujo!$B:$E,4,0)</f>
        <v>0</v>
      </c>
      <c r="F59" s="95"/>
      <c r="G59" s="261">
        <f t="shared" si="0"/>
        <v>0</v>
      </c>
      <c r="H59" s="292">
        <f t="shared" si="1"/>
        <v>1</v>
      </c>
      <c r="K59" s="255"/>
      <c r="L59" s="255"/>
    </row>
    <row r="60" spans="2:12" s="96" customFormat="1" ht="21" customHeight="1">
      <c r="B60" s="97" t="s">
        <v>159</v>
      </c>
      <c r="C60" s="94"/>
      <c r="D60" s="298">
        <f>+VLOOKUP(B60,[3]Flujo!$B:$E,3,0)</f>
        <v>0</v>
      </c>
      <c r="E60" s="298">
        <f>+VLOOKUP(B60,[3]Flujo!$B:$E,4,0)</f>
        <v>0</v>
      </c>
      <c r="F60" s="95"/>
      <c r="G60" s="261">
        <f t="shared" si="0"/>
        <v>0</v>
      </c>
      <c r="H60" s="292">
        <f t="shared" si="1"/>
        <v>1</v>
      </c>
      <c r="K60" s="255"/>
      <c r="L60" s="255"/>
    </row>
    <row r="61" spans="2:12" s="96" customFormat="1" ht="21" customHeight="1">
      <c r="B61" s="258" t="s">
        <v>144</v>
      </c>
      <c r="C61" s="94"/>
      <c r="D61" s="298">
        <f>+VLOOKUP(B61,[3]Flujo!$B:$E,3,0)</f>
        <v>-90100417</v>
      </c>
      <c r="E61" s="298">
        <f>+VLOOKUP(B61,[3]Flujo!$B:$E,4,0)</f>
        <v>-52188662</v>
      </c>
      <c r="F61" s="95"/>
      <c r="G61" s="261">
        <f t="shared" si="0"/>
        <v>-37911755</v>
      </c>
      <c r="H61" s="292">
        <f t="shared" si="1"/>
        <v>0.72643661567717521</v>
      </c>
      <c r="J61" s="96">
        <v>9827327500</v>
      </c>
      <c r="K61" s="340" t="s">
        <v>320</v>
      </c>
      <c r="L61" s="255"/>
    </row>
    <row r="62" spans="2:12" s="96" customFormat="1" ht="21" customHeight="1">
      <c r="B62" s="97" t="s">
        <v>146</v>
      </c>
      <c r="C62" s="94"/>
      <c r="D62" s="298">
        <f>+VLOOKUP(B62,[3]Flujo!$B:$E,3,0)</f>
        <v>0</v>
      </c>
      <c r="E62" s="298">
        <f>+VLOOKUP(B62,[3]Flujo!$B:$E,4,0)</f>
        <v>0</v>
      </c>
      <c r="F62" s="95"/>
      <c r="G62" s="261">
        <f t="shared" si="0"/>
        <v>0</v>
      </c>
      <c r="H62" s="291">
        <f t="shared" si="1"/>
        <v>1</v>
      </c>
      <c r="K62" s="255"/>
      <c r="L62" s="255"/>
    </row>
    <row r="63" spans="2:12" s="96" customFormat="1" ht="21" customHeight="1">
      <c r="B63" s="97" t="s">
        <v>164</v>
      </c>
      <c r="C63" s="94"/>
      <c r="D63" s="298">
        <f>+VLOOKUP(B63,[3]Flujo!$B:$E,3,0)</f>
        <v>0</v>
      </c>
      <c r="E63" s="298">
        <f>+VLOOKUP(B63,[3]Flujo!$B:$E,4,0)</f>
        <v>0</v>
      </c>
      <c r="F63" s="95"/>
      <c r="G63" s="261">
        <f t="shared" ref="G63:G71" si="2">ROUND(+(D63-E63),0)</f>
        <v>0</v>
      </c>
      <c r="H63" s="291">
        <f t="shared" si="1"/>
        <v>1</v>
      </c>
      <c r="K63" s="255"/>
      <c r="L63" s="255"/>
    </row>
    <row r="64" spans="2:12" s="96" customFormat="1" ht="21" customHeight="1" thickBot="1">
      <c r="B64" s="97" t="s">
        <v>165</v>
      </c>
      <c r="C64" s="94"/>
      <c r="D64" s="298">
        <f>+VLOOKUP(B64,[3]Flujo!$B:$E,3,0)</f>
        <v>-1598321</v>
      </c>
      <c r="E64" s="298">
        <f>+VLOOKUP(B64,[3]Flujo!$B:$E,4,0)</f>
        <v>0</v>
      </c>
      <c r="F64" s="95"/>
      <c r="G64" s="261">
        <f t="shared" si="2"/>
        <v>-1598321</v>
      </c>
      <c r="H64" s="291">
        <f t="shared" si="1"/>
        <v>1</v>
      </c>
      <c r="J64" s="339">
        <v>3887567500</v>
      </c>
      <c r="K64" s="340">
        <v>3634842500</v>
      </c>
    </row>
    <row r="65" spans="2:12" s="96" customFormat="1" ht="21" customHeight="1" thickBot="1">
      <c r="B65" s="98" t="s">
        <v>309</v>
      </c>
      <c r="C65" s="100"/>
      <c r="D65" s="301">
        <f>+SUM(D55:D64)</f>
        <v>-96046926</v>
      </c>
      <c r="E65" s="301">
        <f>+SUM(E55:E64)</f>
        <v>-105381750</v>
      </c>
      <c r="F65" s="95"/>
      <c r="G65" s="283">
        <f t="shared" si="2"/>
        <v>9334824</v>
      </c>
      <c r="H65" s="294">
        <f t="shared" ref="H65:H71" si="3">+IFERROR(G65/E65,1)</f>
        <v>-8.8581030396629401E-2</v>
      </c>
      <c r="J65" s="339">
        <v>5939600000</v>
      </c>
      <c r="K65" s="340"/>
      <c r="L65" s="255"/>
    </row>
    <row r="66" spans="2:12" s="96" customFormat="1" ht="21" customHeight="1">
      <c r="B66" s="98" t="s">
        <v>310</v>
      </c>
      <c r="C66" s="100"/>
      <c r="D66" s="302">
        <f>+D65+D48+D23</f>
        <v>-34281668</v>
      </c>
      <c r="E66" s="302">
        <f>+E65+E48+E23</f>
        <v>-33215108</v>
      </c>
      <c r="F66" s="95"/>
      <c r="G66" s="261">
        <f t="shared" si="2"/>
        <v>-1066560</v>
      </c>
      <c r="H66" s="291">
        <f t="shared" si="3"/>
        <v>3.2110688906987747E-2</v>
      </c>
      <c r="K66" s="255"/>
      <c r="L66" s="255"/>
    </row>
    <row r="67" spans="2:12" s="96" customFormat="1" ht="21" customHeight="1">
      <c r="B67" s="101" t="s">
        <v>362</v>
      </c>
      <c r="C67" s="99"/>
      <c r="D67" s="303"/>
      <c r="E67" s="298"/>
      <c r="F67" s="95"/>
      <c r="G67" s="261">
        <f t="shared" si="2"/>
        <v>0</v>
      </c>
      <c r="H67" s="291">
        <f t="shared" si="3"/>
        <v>1</v>
      </c>
      <c r="K67" s="255"/>
      <c r="L67" s="255"/>
    </row>
    <row r="68" spans="2:12" s="96" customFormat="1" ht="21" customHeight="1" thickBot="1">
      <c r="B68" s="102" t="s">
        <v>175</v>
      </c>
      <c r="C68" s="99"/>
      <c r="D68" s="298">
        <f>+VLOOKUP(B68,[3]Flujo!$B:$E,3,0)</f>
        <v>0</v>
      </c>
      <c r="E68" s="298">
        <f>+VLOOKUP(B68,[3]Flujo!$B:$E,4,0)</f>
        <v>0</v>
      </c>
      <c r="F68" s="95"/>
      <c r="G68" s="261">
        <f t="shared" si="2"/>
        <v>0</v>
      </c>
      <c r="H68" s="291">
        <f t="shared" si="3"/>
        <v>1</v>
      </c>
      <c r="K68" s="255"/>
      <c r="L68" s="255"/>
    </row>
    <row r="69" spans="2:12" s="96" customFormat="1" ht="21" customHeight="1" thickBot="1">
      <c r="B69" s="98" t="s">
        <v>228</v>
      </c>
      <c r="C69" s="100"/>
      <c r="D69" s="298">
        <f>+VLOOKUP(B69,[3]Flujo!$B:$E,3,0)</f>
        <v>-34281668</v>
      </c>
      <c r="E69" s="298">
        <f>+VLOOKUP(B69,[3]Flujo!$B:$E,4,0)</f>
        <v>-33215108</v>
      </c>
      <c r="F69" s="95"/>
      <c r="G69" s="283">
        <f t="shared" si="2"/>
        <v>-1066560</v>
      </c>
      <c r="H69" s="294">
        <f t="shared" si="3"/>
        <v>3.2110688906987747E-2</v>
      </c>
      <c r="K69" s="255">
        <f>+J64+J65-K64</f>
        <v>6192325000</v>
      </c>
      <c r="L69" s="255"/>
    </row>
    <row r="70" spans="2:12" s="96" customFormat="1" ht="21" customHeight="1" thickBot="1">
      <c r="B70" s="97" t="s">
        <v>229</v>
      </c>
      <c r="C70" s="94"/>
      <c r="D70" s="298">
        <f>+VLOOKUP(B70,[3]Flujo!$B:$E,3,0)</f>
        <v>109156681</v>
      </c>
      <c r="E70" s="298">
        <f>+VLOOKUP(B70,[3]Flujo!$B:$E,4,0)</f>
        <v>179335341</v>
      </c>
      <c r="F70" s="103"/>
      <c r="G70" s="261">
        <f t="shared" si="2"/>
        <v>-70178660</v>
      </c>
      <c r="H70" s="291">
        <f t="shared" si="3"/>
        <v>-0.39132643687894181</v>
      </c>
      <c r="J70" s="96">
        <f>+J65+J64-J61</f>
        <v>-160000</v>
      </c>
      <c r="K70" s="255"/>
      <c r="L70" s="255"/>
    </row>
    <row r="71" spans="2:12" s="96" customFormat="1" ht="21" customHeight="1" thickBot="1">
      <c r="B71" s="104" t="s">
        <v>230</v>
      </c>
      <c r="C71" s="105">
        <v>7</v>
      </c>
      <c r="D71" s="298">
        <f>+VLOOKUP(B71,[3]Flujo!$B:$E,3,0)</f>
        <v>74875013</v>
      </c>
      <c r="E71" s="298">
        <f>+VLOOKUP(B71,[3]Flujo!$B:$E,4,0)</f>
        <v>146120233</v>
      </c>
      <c r="G71" s="283">
        <f t="shared" si="2"/>
        <v>-71245220</v>
      </c>
      <c r="H71" s="294">
        <f t="shared" si="3"/>
        <v>-0.48757943056386999</v>
      </c>
      <c r="K71" s="255"/>
      <c r="L71" s="255"/>
    </row>
    <row r="72" spans="2:12">
      <c r="D72" s="277"/>
      <c r="E72" s="439">
        <v>146120233</v>
      </c>
    </row>
    <row r="73" spans="2:12">
      <c r="D73" s="304">
        <f>+D71-Balance!D6</f>
        <v>0</v>
      </c>
      <c r="E73" s="304">
        <f>+E71-E72</f>
        <v>0</v>
      </c>
    </row>
  </sheetData>
  <autoFilter ref="B2:E71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B2:I26"/>
  <sheetViews>
    <sheetView showGridLines="0" workbookViewId="0">
      <selection activeCell="O14" sqref="O14"/>
    </sheetView>
  </sheetViews>
  <sheetFormatPr baseColWidth="10" defaultColWidth="11.42578125" defaultRowHeight="12"/>
  <cols>
    <col min="1" max="1" width="11.42578125" style="116"/>
    <col min="2" max="2" width="45.5703125" style="116" bestFit="1" customWidth="1"/>
    <col min="3" max="3" width="14.42578125" style="331" bestFit="1" customWidth="1"/>
    <col min="4" max="4" width="14.42578125" style="116" bestFit="1" customWidth="1"/>
    <col min="5" max="5" width="13.42578125" style="116" bestFit="1" customWidth="1"/>
    <col min="6" max="6" width="13.85546875" style="116" bestFit="1" customWidth="1"/>
    <col min="7" max="16384" width="11.42578125" style="116"/>
  </cols>
  <sheetData>
    <row r="2" spans="2:9">
      <c r="B2" s="115" t="s">
        <v>103</v>
      </c>
      <c r="C2" s="328" t="s">
        <v>8</v>
      </c>
      <c r="F2" s="329"/>
      <c r="G2" s="330"/>
      <c r="H2" s="330"/>
      <c r="I2" s="329"/>
    </row>
    <row r="3" spans="2:9">
      <c r="B3" s="116" t="s">
        <v>376</v>
      </c>
      <c r="C3" s="331">
        <f>+Cálculos!E69</f>
        <v>133390421</v>
      </c>
      <c r="F3" s="329"/>
      <c r="G3" s="329"/>
      <c r="H3" s="329"/>
      <c r="I3" s="329"/>
    </row>
    <row r="4" spans="2:9">
      <c r="B4" s="116" t="s">
        <v>392</v>
      </c>
      <c r="C4" s="331">
        <f>-Cálculos!D69</f>
        <v>-96482376</v>
      </c>
    </row>
    <row r="5" spans="2:9">
      <c r="B5" s="141" t="s">
        <v>393</v>
      </c>
      <c r="C5" s="332">
        <f>+Cálculos!C69</f>
        <v>91402116</v>
      </c>
      <c r="G5" s="312"/>
      <c r="H5" s="312"/>
      <c r="I5" s="313"/>
    </row>
    <row r="6" spans="2:9">
      <c r="B6" s="115" t="s">
        <v>377</v>
      </c>
      <c r="C6" s="333">
        <f>SUM(C3:C5)</f>
        <v>128310161</v>
      </c>
      <c r="G6" s="312"/>
      <c r="H6" s="312"/>
    </row>
    <row r="8" spans="2:9">
      <c r="B8" s="334" t="s">
        <v>104</v>
      </c>
    </row>
    <row r="9" spans="2:9">
      <c r="B9" s="115" t="s">
        <v>21</v>
      </c>
      <c r="C9" s="328" t="s">
        <v>8</v>
      </c>
    </row>
    <row r="10" spans="2:9">
      <c r="B10" s="116" t="str">
        <f>+B3</f>
        <v>Ejercicio 2023</v>
      </c>
      <c r="C10" s="331">
        <f>+Cálculos!F20-Cálculos!F21</f>
        <v>216150985</v>
      </c>
    </row>
    <row r="11" spans="2:9">
      <c r="B11" s="116" t="str">
        <f>+B4</f>
        <v>Acum sep 2023</v>
      </c>
      <c r="C11" s="331">
        <f>-(Cálculos!E20-Cálculos!E21)</f>
        <v>-158379517</v>
      </c>
    </row>
    <row r="12" spans="2:9">
      <c r="B12" s="141" t="str">
        <f>+B5</f>
        <v>Acum sep 2024</v>
      </c>
      <c r="C12" s="332">
        <f>+Cálculos!D20-Cálculos!D21</f>
        <v>152965414</v>
      </c>
    </row>
    <row r="13" spans="2:9">
      <c r="B13" s="115" t="str">
        <f>+B6</f>
        <v>Periodo jun 2024 - jun 2023</v>
      </c>
      <c r="C13" s="333">
        <f>SUM(C10:C12)</f>
        <v>210736882</v>
      </c>
    </row>
    <row r="16" spans="2:9">
      <c r="B16" s="115" t="s">
        <v>23</v>
      </c>
      <c r="C16" s="328" t="s">
        <v>8</v>
      </c>
    </row>
    <row r="17" spans="2:5">
      <c r="B17" s="116" t="str">
        <f>+B3</f>
        <v>Ejercicio 2023</v>
      </c>
      <c r="C17" s="331">
        <f>-Cálculos!F21</f>
        <v>48849432</v>
      </c>
    </row>
    <row r="18" spans="2:5">
      <c r="B18" s="116" t="str">
        <f>+B4</f>
        <v>Acum sep 2023</v>
      </c>
      <c r="C18" s="331">
        <f>+Cálculos!E21</f>
        <v>-36680405</v>
      </c>
    </row>
    <row r="19" spans="2:5">
      <c r="B19" s="141" t="str">
        <f>+B5</f>
        <v>Acum sep 2024</v>
      </c>
      <c r="C19" s="332">
        <f>-Cálculos!D21</f>
        <v>37232930</v>
      </c>
    </row>
    <row r="20" spans="2:5">
      <c r="B20" s="115" t="str">
        <f>+B13</f>
        <v>Periodo jun 2024 - jun 2023</v>
      </c>
      <c r="C20" s="333">
        <f>SUM(C17:C19)</f>
        <v>49401957</v>
      </c>
    </row>
    <row r="24" spans="2:5">
      <c r="C24" s="335"/>
      <c r="D24" s="336"/>
      <c r="E24" s="337"/>
    </row>
    <row r="25" spans="2:5">
      <c r="C25" s="338"/>
      <c r="D25" s="338"/>
      <c r="E25" s="338"/>
    </row>
    <row r="26" spans="2:5">
      <c r="C26" s="338"/>
      <c r="D26" s="338"/>
      <c r="E26" s="33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B2"/>
  <sheetViews>
    <sheetView showGridLines="0" zoomScale="70" zoomScaleNormal="70" workbookViewId="0">
      <selection activeCell="O14" sqref="O14"/>
    </sheetView>
  </sheetViews>
  <sheetFormatPr baseColWidth="10" defaultRowHeight="12.75"/>
  <sheetData>
    <row r="2" spans="2:2">
      <c r="B2" s="247" t="s">
        <v>283</v>
      </c>
    </row>
  </sheetData>
  <hyperlinks>
    <hyperlink ref="B2" r:id="rId1" location="/cierre_bursati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M52"/>
  <sheetViews>
    <sheetView showGridLines="0" tabSelected="1" workbookViewId="0">
      <selection activeCell="D25" sqref="D25"/>
    </sheetView>
  </sheetViews>
  <sheetFormatPr baseColWidth="10" defaultColWidth="0" defaultRowHeight="15" customHeight="1" zeroHeight="1"/>
  <cols>
    <col min="1" max="1" width="4" style="7" customWidth="1"/>
    <col min="2" max="2" width="44.85546875" style="7" bestFit="1" customWidth="1"/>
    <col min="3" max="4" width="12.5703125" style="7" customWidth="1"/>
    <col min="5" max="5" width="15.5703125" style="7" customWidth="1"/>
    <col min="6" max="6" width="13.42578125" style="7" bestFit="1" customWidth="1"/>
    <col min="7" max="8" width="11.42578125" style="7" customWidth="1"/>
    <col min="9" max="11" width="11.42578125" style="7" hidden="1" customWidth="1"/>
    <col min="12" max="13" width="0" style="7" hidden="1" customWidth="1"/>
    <col min="14" max="16384" width="11.42578125" style="7" hidden="1"/>
  </cols>
  <sheetData>
    <row r="1" spans="1:6" ht="15" customHeight="1">
      <c r="A1" s="13" t="s">
        <v>207</v>
      </c>
    </row>
    <row r="2" spans="1:6" ht="15" customHeight="1"/>
    <row r="3" spans="1:6" ht="15" customHeight="1" thickBot="1">
      <c r="B3" s="2" t="s">
        <v>240</v>
      </c>
      <c r="C3" s="307" t="s">
        <v>383</v>
      </c>
      <c r="D3" s="307" t="s">
        <v>384</v>
      </c>
      <c r="E3" s="248" t="s">
        <v>277</v>
      </c>
      <c r="F3" s="306" t="s">
        <v>368</v>
      </c>
    </row>
    <row r="4" spans="1:6" ht="15" customHeight="1">
      <c r="B4" s="3" t="s">
        <v>263</v>
      </c>
      <c r="C4" s="308">
        <v>483042204</v>
      </c>
      <c r="D4" s="308">
        <v>475235519</v>
      </c>
      <c r="E4" s="9">
        <v>1.6E-2</v>
      </c>
      <c r="F4" s="8">
        <v>7806685</v>
      </c>
    </row>
    <row r="5" spans="1:6" s="14" customFormat="1" ht="15" customHeight="1">
      <c r="B5" s="4" t="s">
        <v>264</v>
      </c>
      <c r="C5" s="308">
        <v>-248008011</v>
      </c>
      <c r="D5" s="308">
        <v>-244040078</v>
      </c>
      <c r="E5" s="9">
        <v>1.6E-2</v>
      </c>
      <c r="F5" s="8">
        <v>-3967933</v>
      </c>
    </row>
    <row r="6" spans="1:6" s="14" customFormat="1" ht="15" customHeight="1">
      <c r="B6" s="5" t="s">
        <v>191</v>
      </c>
      <c r="C6" s="309">
        <v>235034193</v>
      </c>
      <c r="D6" s="309">
        <v>231195441</v>
      </c>
      <c r="E6" s="11">
        <v>1.7000000000000001E-2</v>
      </c>
      <c r="F6" s="10">
        <v>3838752</v>
      </c>
    </row>
    <row r="7" spans="1:6" s="14" customFormat="1" ht="15" customHeight="1">
      <c r="B7" s="4" t="s">
        <v>62</v>
      </c>
      <c r="C7" s="308">
        <v>-60798649</v>
      </c>
      <c r="D7" s="308">
        <v>-56569056</v>
      </c>
      <c r="E7" s="9">
        <v>7.4999999999999997E-2</v>
      </c>
      <c r="F7" s="8">
        <v>-4229593</v>
      </c>
    </row>
    <row r="8" spans="1:6" s="14" customFormat="1" ht="15" customHeight="1">
      <c r="B8" s="5" t="s">
        <v>265</v>
      </c>
      <c r="C8" s="309">
        <v>174235544</v>
      </c>
      <c r="D8" s="309">
        <v>174626385</v>
      </c>
      <c r="E8" s="11">
        <v>-2E-3</v>
      </c>
      <c r="F8" s="10">
        <v>-390841</v>
      </c>
    </row>
    <row r="9" spans="1:6" s="14" customFormat="1" ht="15" customHeight="1">
      <c r="B9" s="4" t="s">
        <v>266</v>
      </c>
      <c r="C9" s="308">
        <v>2237093</v>
      </c>
      <c r="D9" s="308">
        <v>-1774124</v>
      </c>
      <c r="E9" s="9">
        <v>-2.2610000000000001</v>
      </c>
      <c r="F9" s="8">
        <v>4011217</v>
      </c>
    </row>
    <row r="10" spans="1:6" s="14" customFormat="1" ht="15" customHeight="1">
      <c r="B10" s="4" t="s">
        <v>316</v>
      </c>
      <c r="C10" s="308">
        <v>0</v>
      </c>
      <c r="D10" s="308">
        <v>0</v>
      </c>
      <c r="E10" s="320">
        <v>0</v>
      </c>
      <c r="F10" s="8">
        <v>0</v>
      </c>
    </row>
    <row r="11" spans="1:6" s="14" customFormat="1" ht="15" customHeight="1">
      <c r="B11" s="4" t="s">
        <v>267</v>
      </c>
      <c r="C11" s="308">
        <v>-60740153</v>
      </c>
      <c r="D11" s="308">
        <v>-51153149</v>
      </c>
      <c r="E11" s="9">
        <v>0.187</v>
      </c>
      <c r="F11" s="8">
        <v>-9587004</v>
      </c>
    </row>
    <row r="12" spans="1:6" s="14" customFormat="1" ht="15" customHeight="1">
      <c r="B12" s="4" t="s">
        <v>231</v>
      </c>
      <c r="C12" s="308">
        <v>-24328925</v>
      </c>
      <c r="D12" s="308">
        <v>-25215487</v>
      </c>
      <c r="E12" s="9">
        <v>-3.5000000000000003E-2</v>
      </c>
      <c r="F12" s="8">
        <v>886562</v>
      </c>
    </row>
    <row r="13" spans="1:6" s="14" customFormat="1" ht="15" customHeight="1">
      <c r="B13" s="4" t="s">
        <v>366</v>
      </c>
      <c r="C13" s="308">
        <v>-1443</v>
      </c>
      <c r="D13" s="308">
        <v>-1249</v>
      </c>
      <c r="E13" s="9">
        <v>0.155</v>
      </c>
      <c r="F13" s="8">
        <v>-194</v>
      </c>
    </row>
    <row r="14" spans="1:6" s="14" customFormat="1" ht="15" customHeight="1">
      <c r="B14" s="5" t="s">
        <v>268</v>
      </c>
      <c r="C14" s="309">
        <v>91402116</v>
      </c>
      <c r="D14" s="442">
        <v>96482376</v>
      </c>
      <c r="E14" s="11">
        <v>-5.2999999999999999E-2</v>
      </c>
      <c r="F14" s="10">
        <v>-5080260</v>
      </c>
    </row>
    <row r="15" spans="1:6" s="14" customFormat="1" ht="15" customHeight="1">
      <c r="C15" s="383">
        <v>0</v>
      </c>
      <c r="D15" s="383">
        <v>0</v>
      </c>
    </row>
    <row r="16" spans="1:6" ht="15" customHeight="1">
      <c r="C16" s="321">
        <v>0</v>
      </c>
      <c r="D16" s="321">
        <v>0</v>
      </c>
    </row>
    <row r="17" spans="1:10" s="356" customFormat="1" ht="15" customHeight="1">
      <c r="A17" s="13" t="s">
        <v>208</v>
      </c>
      <c r="B17" s="15"/>
      <c r="C17" s="16"/>
      <c r="D17" s="16"/>
      <c r="E17" s="384"/>
      <c r="F17" s="385"/>
      <c r="G17" s="16"/>
    </row>
    <row r="18" spans="1:10" s="356" customFormat="1" ht="15" customHeight="1" thickBot="1">
      <c r="B18" s="7"/>
      <c r="C18" s="455" t="s">
        <v>383</v>
      </c>
      <c r="D18" s="455"/>
      <c r="E18" s="7"/>
      <c r="F18" s="456" t="s">
        <v>384</v>
      </c>
      <c r="G18" s="456"/>
    </row>
    <row r="19" spans="1:10" s="356" customFormat="1" ht="15" customHeight="1">
      <c r="B19" s="7"/>
      <c r="C19" s="386" t="s">
        <v>196</v>
      </c>
      <c r="D19" s="457" t="s">
        <v>197</v>
      </c>
      <c r="E19" s="7"/>
      <c r="F19" s="17" t="s">
        <v>196</v>
      </c>
      <c r="G19" s="459" t="s">
        <v>197</v>
      </c>
    </row>
    <row r="20" spans="1:10" s="356" customFormat="1" ht="15" customHeight="1" thickBot="1">
      <c r="B20" s="7"/>
      <c r="C20" s="307" t="s">
        <v>294</v>
      </c>
      <c r="D20" s="458"/>
      <c r="E20" s="7"/>
      <c r="F20" s="6" t="s">
        <v>8</v>
      </c>
      <c r="G20" s="460"/>
    </row>
    <row r="21" spans="1:10" s="356" customFormat="1" ht="15" customHeight="1">
      <c r="B21" s="4" t="s">
        <v>259</v>
      </c>
      <c r="C21" s="18">
        <v>196502255</v>
      </c>
      <c r="D21" s="387">
        <v>0.40699999999999997</v>
      </c>
      <c r="E21" s="7"/>
      <c r="F21" s="18">
        <v>192112033</v>
      </c>
      <c r="G21" s="387">
        <v>0.40400000000000003</v>
      </c>
      <c r="J21" s="357"/>
    </row>
    <row r="22" spans="1:10" s="356" customFormat="1" ht="15" customHeight="1">
      <c r="B22" s="4" t="s">
        <v>260</v>
      </c>
      <c r="C22" s="18">
        <v>217408241</v>
      </c>
      <c r="D22" s="387">
        <v>0.45</v>
      </c>
      <c r="E22" s="7"/>
      <c r="F22" s="18">
        <v>213447688</v>
      </c>
      <c r="G22" s="387">
        <v>0.44900000000000001</v>
      </c>
      <c r="J22" s="357"/>
    </row>
    <row r="23" spans="1:10" s="356" customFormat="1" ht="15" customHeight="1">
      <c r="B23" s="4" t="s">
        <v>261</v>
      </c>
      <c r="C23" s="18">
        <v>19550385</v>
      </c>
      <c r="D23" s="9">
        <v>0.04</v>
      </c>
      <c r="E23" s="7"/>
      <c r="F23" s="18">
        <v>18536115</v>
      </c>
      <c r="G23" s="387">
        <v>3.9E-2</v>
      </c>
      <c r="J23" s="357"/>
    </row>
    <row r="24" spans="1:10" s="356" customFormat="1" ht="15" customHeight="1" thickBot="1">
      <c r="B24" s="15" t="s">
        <v>262</v>
      </c>
      <c r="C24" s="388">
        <v>49581323</v>
      </c>
      <c r="D24" s="389">
        <v>0.10299999999999999</v>
      </c>
      <c r="E24" s="7"/>
      <c r="F24" s="388">
        <v>51139683</v>
      </c>
      <c r="G24" s="389">
        <v>0.108</v>
      </c>
      <c r="J24" s="357"/>
    </row>
    <row r="25" spans="1:10" s="356" customFormat="1" ht="15" customHeight="1" thickTop="1">
      <c r="B25" s="5" t="s">
        <v>198</v>
      </c>
      <c r="C25" s="26">
        <v>483042204</v>
      </c>
      <c r="D25" s="390">
        <v>1</v>
      </c>
      <c r="E25" s="7"/>
      <c r="F25" s="26">
        <v>475235519</v>
      </c>
      <c r="G25" s="390">
        <v>1</v>
      </c>
      <c r="I25" s="359"/>
      <c r="J25" s="357"/>
    </row>
    <row r="26" spans="1:10" s="356" customFormat="1" ht="15" customHeight="1">
      <c r="B26" s="14"/>
      <c r="C26" s="391">
        <v>0</v>
      </c>
      <c r="D26" s="391"/>
      <c r="E26" s="392"/>
      <c r="F26" s="391">
        <v>0</v>
      </c>
      <c r="G26" s="14"/>
    </row>
    <row r="27" spans="1:10" s="356" customFormat="1" ht="15" customHeight="1" thickBot="1">
      <c r="B27" s="394" t="s">
        <v>271</v>
      </c>
      <c r="C27" s="354" t="s">
        <v>383</v>
      </c>
      <c r="D27" s="354" t="s">
        <v>384</v>
      </c>
      <c r="E27" s="354" t="s">
        <v>181</v>
      </c>
      <c r="F27" s="355"/>
      <c r="G27" s="354" t="s">
        <v>199</v>
      </c>
    </row>
    <row r="28" spans="1:10" s="356" customFormat="1" ht="15" customHeight="1">
      <c r="B28" s="395" t="s">
        <v>269</v>
      </c>
      <c r="C28" s="18">
        <v>390430</v>
      </c>
      <c r="D28" s="18">
        <v>389807</v>
      </c>
      <c r="E28" s="9">
        <v>2E-3</v>
      </c>
      <c r="F28" s="7"/>
      <c r="G28" s="8">
        <v>623</v>
      </c>
    </row>
    <row r="29" spans="1:10" s="356" customFormat="1" ht="15" customHeight="1">
      <c r="B29" s="395" t="s">
        <v>270</v>
      </c>
      <c r="C29" s="18">
        <v>374766</v>
      </c>
      <c r="D29" s="18">
        <v>374096</v>
      </c>
      <c r="E29" s="9">
        <v>2E-3</v>
      </c>
      <c r="F29" s="7"/>
      <c r="G29" s="8">
        <v>670</v>
      </c>
    </row>
    <row r="30" spans="1:10" s="356" customFormat="1" ht="15" customHeight="1">
      <c r="B30" s="395" t="s">
        <v>414</v>
      </c>
      <c r="C30" s="18">
        <v>322868</v>
      </c>
      <c r="D30" s="18">
        <v>322265</v>
      </c>
      <c r="E30" s="9">
        <v>2E-3</v>
      </c>
      <c r="F30" s="7"/>
      <c r="G30" s="8">
        <v>603</v>
      </c>
    </row>
    <row r="31" spans="1:10" s="355" customFormat="1" ht="15" customHeight="1">
      <c r="B31" s="395" t="s">
        <v>232</v>
      </c>
      <c r="C31" s="18">
        <v>90384</v>
      </c>
      <c r="D31" s="18">
        <v>90522</v>
      </c>
      <c r="E31" s="9">
        <v>-2E-3</v>
      </c>
      <c r="F31" s="20"/>
      <c r="G31" s="8">
        <v>-138</v>
      </c>
    </row>
    <row r="32" spans="1:10" s="355" customFormat="1" ht="15" customHeight="1">
      <c r="C32" s="444"/>
      <c r="D32" s="444"/>
      <c r="E32" s="7"/>
      <c r="F32" s="7"/>
      <c r="G32" s="7"/>
    </row>
    <row r="33" spans="2:8" s="355" customFormat="1" ht="15" customHeight="1" thickBot="1">
      <c r="B33" s="353" t="s">
        <v>200</v>
      </c>
      <c r="C33" s="6" t="s">
        <v>383</v>
      </c>
      <c r="D33" s="6" t="s">
        <v>384</v>
      </c>
      <c r="E33" s="6" t="s">
        <v>181</v>
      </c>
      <c r="F33" s="7"/>
      <c r="G33" s="6" t="s">
        <v>199</v>
      </c>
    </row>
    <row r="34" spans="2:8" s="355" customFormat="1" ht="15" customHeight="1">
      <c r="B34" s="395" t="s">
        <v>269</v>
      </c>
      <c r="C34" s="18">
        <v>2339334</v>
      </c>
      <c r="D34" s="18">
        <v>2296728</v>
      </c>
      <c r="E34" s="9">
        <v>1.9E-2</v>
      </c>
      <c r="F34" s="7"/>
      <c r="G34" s="8">
        <v>42606</v>
      </c>
    </row>
    <row r="35" spans="2:8" s="355" customFormat="1" ht="15" customHeight="1">
      <c r="B35" s="395" t="s">
        <v>270</v>
      </c>
      <c r="C35" s="18">
        <v>2294619</v>
      </c>
      <c r="D35" s="18">
        <v>2251965</v>
      </c>
      <c r="E35" s="9">
        <v>1.9E-2</v>
      </c>
      <c r="F35" s="7"/>
      <c r="G35" s="8">
        <v>42654</v>
      </c>
    </row>
    <row r="36" spans="2:8" s="355" customFormat="1" ht="15" customHeight="1">
      <c r="C36" s="7"/>
      <c r="D36" s="7"/>
      <c r="E36" s="7"/>
      <c r="F36" s="7"/>
      <c r="G36" s="7"/>
    </row>
    <row r="37" spans="2:8" s="355" customFormat="1" ht="15" customHeight="1">
      <c r="B37" s="396" t="s">
        <v>209</v>
      </c>
      <c r="C37" s="7"/>
      <c r="D37" s="7"/>
      <c r="E37" s="7"/>
      <c r="F37" s="7"/>
      <c r="G37" s="7"/>
    </row>
    <row r="38" spans="2:8" s="355" customFormat="1" ht="15" customHeight="1">
      <c r="B38" s="396"/>
      <c r="C38" s="7"/>
      <c r="D38" s="7"/>
      <c r="E38" s="7"/>
      <c r="F38" s="7"/>
      <c r="G38" s="7"/>
    </row>
    <row r="39" spans="2:8" s="355" customFormat="1" ht="13.5" thickBot="1">
      <c r="B39" s="353" t="s">
        <v>241</v>
      </c>
      <c r="C39" s="6" t="s">
        <v>383</v>
      </c>
      <c r="D39" s="6" t="s">
        <v>384</v>
      </c>
      <c r="E39" s="6" t="s">
        <v>181</v>
      </c>
      <c r="F39" s="7"/>
      <c r="G39" s="7"/>
    </row>
    <row r="40" spans="2:8" s="355" customFormat="1" ht="12.75">
      <c r="B40" s="397" t="s">
        <v>176</v>
      </c>
      <c r="C40" s="18">
        <v>16665609</v>
      </c>
      <c r="D40" s="18">
        <v>16391156</v>
      </c>
      <c r="E40" s="9">
        <v>1.6999999999999904E-2</v>
      </c>
      <c r="F40" s="7"/>
      <c r="G40" s="7"/>
      <c r="H40" s="358"/>
    </row>
    <row r="41" spans="2:8" s="355" customFormat="1" ht="12.75">
      <c r="B41" s="397" t="s">
        <v>287</v>
      </c>
      <c r="C41" s="18">
        <v>7767924</v>
      </c>
      <c r="D41" s="18">
        <v>6853188</v>
      </c>
      <c r="E41" s="9">
        <v>0.13300000000000001</v>
      </c>
      <c r="F41" s="7"/>
      <c r="G41" s="7"/>
      <c r="H41" s="358"/>
    </row>
    <row r="42" spans="2:8" s="355" customFormat="1" ht="12.75">
      <c r="B42" s="397" t="s">
        <v>322</v>
      </c>
      <c r="C42" s="18">
        <v>2618985</v>
      </c>
      <c r="D42" s="18">
        <v>2600114</v>
      </c>
      <c r="E42" s="9">
        <v>6.9999999999998952E-3</v>
      </c>
      <c r="F42" s="7"/>
      <c r="G42" s="7"/>
      <c r="H42" s="358"/>
    </row>
    <row r="43" spans="2:8" s="355" customFormat="1" ht="12.75">
      <c r="B43" s="397" t="s">
        <v>382</v>
      </c>
      <c r="C43" s="18">
        <v>2552799</v>
      </c>
      <c r="D43" s="18">
        <v>1780509</v>
      </c>
      <c r="E43" s="9">
        <v>0.43399999999999994</v>
      </c>
      <c r="F43" s="7"/>
      <c r="G43" s="7"/>
      <c r="H43" s="358"/>
    </row>
    <row r="44" spans="2:8" s="355" customFormat="1" ht="12.75">
      <c r="B44" s="398" t="s">
        <v>89</v>
      </c>
      <c r="C44" s="26">
        <v>29605317</v>
      </c>
      <c r="D44" s="26">
        <v>27624967</v>
      </c>
      <c r="E44" s="11">
        <v>7.2000000000000064E-2</v>
      </c>
      <c r="F44" s="7"/>
      <c r="G44" s="7"/>
      <c r="H44" s="358"/>
    </row>
    <row r="45" spans="2:8" s="355" customFormat="1" ht="15" customHeight="1">
      <c r="C45" s="399"/>
      <c r="D45" s="399"/>
    </row>
    <row r="46" spans="2:8" s="355" customFormat="1" ht="15" hidden="1" customHeight="1">
      <c r="C46" s="400"/>
      <c r="D46" s="400"/>
      <c r="G46" s="400"/>
    </row>
    <row r="47" spans="2:8" s="355" customFormat="1" ht="15" hidden="1" customHeight="1"/>
    <row r="50" spans="2:3" ht="15" hidden="1" customHeight="1">
      <c r="B50" s="4"/>
      <c r="C50" s="22"/>
    </row>
    <row r="51" spans="2:3" ht="15" hidden="1" customHeight="1">
      <c r="B51" s="4"/>
      <c r="C51" s="22"/>
    </row>
    <row r="52" spans="2:3" ht="15" hidden="1" customHeight="1">
      <c r="B52" s="4"/>
      <c r="C52" s="22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M31"/>
  <sheetViews>
    <sheetView showGridLines="0" workbookViewId="0">
      <selection activeCell="A12" sqref="A1:XFD1048576"/>
    </sheetView>
  </sheetViews>
  <sheetFormatPr baseColWidth="10" defaultColWidth="0" defaultRowHeight="12.75" zeroHeight="1"/>
  <cols>
    <col min="1" max="1" width="11.42578125" style="7" customWidth="1"/>
    <col min="2" max="2" width="25.42578125" style="7" bestFit="1" customWidth="1"/>
    <col min="3" max="4" width="12" style="7" bestFit="1" customWidth="1"/>
    <col min="5" max="8" width="11.42578125" style="7" customWidth="1"/>
    <col min="9" max="9" width="11.42578125" style="7" hidden="1" customWidth="1"/>
    <col min="10" max="10" width="68.42578125" style="7" hidden="1" customWidth="1"/>
    <col min="11" max="11" width="12.42578125" style="7" hidden="1" customWidth="1"/>
    <col min="12" max="13" width="0" style="7" hidden="1" customWidth="1"/>
    <col min="14" max="16384" width="11.42578125" style="7" hidden="1"/>
  </cols>
  <sheetData>
    <row r="1" spans="2:13">
      <c r="B1" s="12" t="s">
        <v>255</v>
      </c>
    </row>
    <row r="2" spans="2:13"/>
    <row r="3" spans="2:13" ht="13.5" thickBot="1">
      <c r="B3" s="47" t="s">
        <v>240</v>
      </c>
      <c r="C3" s="6" t="s">
        <v>383</v>
      </c>
      <c r="D3" s="6" t="s">
        <v>384</v>
      </c>
      <c r="E3" s="6" t="s">
        <v>181</v>
      </c>
      <c r="G3" s="6" t="s">
        <v>368</v>
      </c>
    </row>
    <row r="4" spans="2:13">
      <c r="B4" s="23" t="s">
        <v>272</v>
      </c>
      <c r="C4" s="8">
        <v>453022525</v>
      </c>
      <c r="D4" s="8">
        <v>447420641</v>
      </c>
      <c r="E4" s="9">
        <v>1.2999999999999999E-2</v>
      </c>
      <c r="G4" s="8">
        <v>5601884</v>
      </c>
      <c r="J4" s="24"/>
      <c r="K4" s="25"/>
      <c r="L4" s="25"/>
      <c r="M4" s="25"/>
    </row>
    <row r="5" spans="2:13">
      <c r="B5" s="23" t="s">
        <v>273</v>
      </c>
      <c r="C5" s="8">
        <v>1135131</v>
      </c>
      <c r="D5" s="8">
        <v>1149724</v>
      </c>
      <c r="E5" s="9">
        <v>-1.2999999999999999E-2</v>
      </c>
      <c r="F5" s="20"/>
      <c r="G5" s="8">
        <v>-14593</v>
      </c>
      <c r="J5" s="24"/>
      <c r="K5" s="25"/>
      <c r="L5" s="25"/>
      <c r="M5" s="25"/>
    </row>
    <row r="6" spans="2:13">
      <c r="B6" s="23" t="s">
        <v>264</v>
      </c>
      <c r="C6" s="8">
        <v>-226507623</v>
      </c>
      <c r="D6" s="8">
        <v>-221401332</v>
      </c>
      <c r="E6" s="9">
        <v>2.3E-2</v>
      </c>
      <c r="G6" s="8">
        <v>-5106291</v>
      </c>
      <c r="J6" s="24"/>
      <c r="K6" s="25"/>
      <c r="L6" s="25"/>
      <c r="M6" s="25"/>
    </row>
    <row r="7" spans="2:13" s="12" customFormat="1">
      <c r="B7" s="48" t="s">
        <v>191</v>
      </c>
      <c r="C7" s="309">
        <v>227650033</v>
      </c>
      <c r="D7" s="309">
        <v>227169033</v>
      </c>
      <c r="E7" s="11">
        <v>2E-3</v>
      </c>
      <c r="G7" s="10">
        <v>481000</v>
      </c>
      <c r="J7" s="27"/>
      <c r="K7" s="28"/>
      <c r="L7" s="28"/>
      <c r="M7" s="28"/>
    </row>
    <row r="8" spans="2:13">
      <c r="B8" s="23" t="s">
        <v>62</v>
      </c>
      <c r="C8" s="8">
        <v>-58984360</v>
      </c>
      <c r="D8" s="8">
        <v>-54836791</v>
      </c>
      <c r="E8" s="9">
        <v>7.5999999999999998E-2</v>
      </c>
      <c r="G8" s="8">
        <v>-4147569</v>
      </c>
      <c r="J8" s="24"/>
      <c r="K8" s="25"/>
      <c r="L8" s="25"/>
      <c r="M8" s="25"/>
    </row>
    <row r="9" spans="2:13" s="12" customFormat="1">
      <c r="B9" s="48" t="s">
        <v>265</v>
      </c>
      <c r="C9" s="309">
        <v>168665673</v>
      </c>
      <c r="D9" s="309">
        <v>172332242</v>
      </c>
      <c r="E9" s="11">
        <v>-2.1000000000000001E-2</v>
      </c>
      <c r="G9" s="10">
        <v>-3666569</v>
      </c>
      <c r="J9" s="27"/>
      <c r="K9" s="28"/>
      <c r="L9" s="28"/>
      <c r="M9" s="28"/>
    </row>
    <row r="10" spans="2:13">
      <c r="B10" s="23" t="s">
        <v>274</v>
      </c>
      <c r="C10" s="8">
        <v>1587533</v>
      </c>
      <c r="D10" s="8">
        <v>-1539315</v>
      </c>
      <c r="E10" s="9" t="s">
        <v>311</v>
      </c>
      <c r="F10" s="20"/>
      <c r="G10" s="8">
        <v>3126848</v>
      </c>
      <c r="J10" s="24"/>
      <c r="K10" s="25"/>
      <c r="L10" s="25"/>
      <c r="M10" s="25"/>
    </row>
    <row r="11" spans="2:13">
      <c r="B11" s="23" t="s">
        <v>267</v>
      </c>
      <c r="C11" s="8">
        <v>-60626237</v>
      </c>
      <c r="D11" s="8">
        <v>-53221925</v>
      </c>
      <c r="E11" s="9">
        <v>0.13900000000000001</v>
      </c>
      <c r="G11" s="8">
        <v>-7404312</v>
      </c>
      <c r="J11" s="24"/>
      <c r="K11" s="25"/>
      <c r="L11" s="25"/>
      <c r="M11" s="25"/>
    </row>
    <row r="12" spans="2:13">
      <c r="B12" s="23" t="s">
        <v>231</v>
      </c>
      <c r="C12" s="8">
        <v>-22937804</v>
      </c>
      <c r="D12" s="8">
        <v>-24224075</v>
      </c>
      <c r="E12" s="9">
        <v>-5.2999999999999999E-2</v>
      </c>
      <c r="G12" s="8">
        <v>1286271</v>
      </c>
      <c r="J12" s="24"/>
      <c r="K12" s="25"/>
      <c r="L12" s="25"/>
      <c r="M12" s="25"/>
    </row>
    <row r="13" spans="2:13">
      <c r="B13" s="23" t="s">
        <v>364</v>
      </c>
      <c r="C13" s="8">
        <v>-1443</v>
      </c>
      <c r="D13" s="8">
        <v>-1249</v>
      </c>
      <c r="E13" s="9">
        <v>0.155</v>
      </c>
      <c r="G13" s="8">
        <v>-194</v>
      </c>
      <c r="J13" s="24"/>
      <c r="K13" s="25"/>
      <c r="L13" s="25"/>
      <c r="M13" s="25"/>
    </row>
    <row r="14" spans="2:13" s="12" customFormat="1">
      <c r="B14" s="48" t="s">
        <v>268</v>
      </c>
      <c r="C14" s="309">
        <v>86687722</v>
      </c>
      <c r="D14" s="309">
        <v>93345678</v>
      </c>
      <c r="E14" s="11">
        <v>-7.0999999999999994E-2</v>
      </c>
      <c r="G14" s="10">
        <v>-6657956</v>
      </c>
      <c r="J14" s="27"/>
      <c r="K14" s="28"/>
      <c r="L14" s="28"/>
      <c r="M14" s="28"/>
    </row>
    <row r="15" spans="2:13">
      <c r="C15" s="259">
        <v>0</v>
      </c>
      <c r="D15" s="259">
        <v>0</v>
      </c>
      <c r="J15" s="24"/>
      <c r="M15" s="25"/>
    </row>
    <row r="16" spans="2:13">
      <c r="C16" s="25"/>
      <c r="D16" s="25"/>
      <c r="J16" s="24"/>
    </row>
    <row r="17" spans="2:10">
      <c r="B17" s="12" t="s">
        <v>256</v>
      </c>
      <c r="J17" s="24"/>
    </row>
    <row r="18" spans="2:10">
      <c r="J18" s="24"/>
    </row>
    <row r="19" spans="2:10" ht="13.5" thickBot="1">
      <c r="B19" s="47" t="s">
        <v>240</v>
      </c>
      <c r="C19" s="6" t="s">
        <v>383</v>
      </c>
      <c r="D19" s="6" t="s">
        <v>384</v>
      </c>
      <c r="E19" s="6" t="s">
        <v>181</v>
      </c>
      <c r="G19" s="6" t="s">
        <v>368</v>
      </c>
    </row>
    <row r="20" spans="2:10">
      <c r="B20" s="23" t="s">
        <v>272</v>
      </c>
      <c r="C20" s="8">
        <v>30019679</v>
      </c>
      <c r="D20" s="8">
        <v>27814878</v>
      </c>
      <c r="E20" s="9">
        <v>7.9000000000000001E-2</v>
      </c>
      <c r="G20" s="8">
        <v>2204801</v>
      </c>
    </row>
    <row r="21" spans="2:10">
      <c r="B21" s="23" t="s">
        <v>273</v>
      </c>
      <c r="C21" s="8">
        <v>9839174</v>
      </c>
      <c r="D21" s="8">
        <v>8441921</v>
      </c>
      <c r="E21" s="9">
        <v>0.16600000000000001</v>
      </c>
      <c r="G21" s="8">
        <v>1397253</v>
      </c>
    </row>
    <row r="22" spans="2:10">
      <c r="B22" s="23" t="s">
        <v>264</v>
      </c>
      <c r="C22" s="8">
        <v>-32474693</v>
      </c>
      <c r="D22" s="8">
        <v>-29716167</v>
      </c>
      <c r="E22" s="9">
        <v>9.2999999999999999E-2</v>
      </c>
      <c r="G22" s="8">
        <v>-2758526</v>
      </c>
    </row>
    <row r="23" spans="2:10">
      <c r="B23" s="48" t="s">
        <v>191</v>
      </c>
      <c r="C23" s="10">
        <v>7384160</v>
      </c>
      <c r="D23" s="10">
        <v>6540632</v>
      </c>
      <c r="E23" s="11">
        <v>0.129</v>
      </c>
      <c r="F23" s="12"/>
      <c r="G23" s="10">
        <v>843528</v>
      </c>
    </row>
    <row r="24" spans="2:10">
      <c r="B24" s="23" t="s">
        <v>62</v>
      </c>
      <c r="C24" s="8">
        <v>-1814289</v>
      </c>
      <c r="D24" s="8">
        <v>-1731402</v>
      </c>
      <c r="E24" s="9">
        <v>4.8000000000000001E-2</v>
      </c>
      <c r="G24" s="8">
        <v>-82887</v>
      </c>
    </row>
    <row r="25" spans="2:10">
      <c r="B25" s="48" t="s">
        <v>265</v>
      </c>
      <c r="C25" s="10">
        <v>5569871</v>
      </c>
      <c r="D25" s="10">
        <v>4809230</v>
      </c>
      <c r="E25" s="11">
        <v>0.158</v>
      </c>
      <c r="F25" s="12"/>
      <c r="G25" s="10">
        <v>760641</v>
      </c>
    </row>
    <row r="26" spans="2:10">
      <c r="B26" s="23" t="s">
        <v>274</v>
      </c>
      <c r="C26" s="8">
        <v>649560</v>
      </c>
      <c r="D26" s="8">
        <v>-234809</v>
      </c>
      <c r="E26" s="9">
        <v>-3.766</v>
      </c>
      <c r="G26" s="8">
        <v>884369</v>
      </c>
    </row>
    <row r="27" spans="2:10">
      <c r="B27" s="23" t="s">
        <v>267</v>
      </c>
      <c r="C27" s="8">
        <v>-113916</v>
      </c>
      <c r="D27" s="8">
        <v>-446311</v>
      </c>
      <c r="E27" s="9">
        <v>-0.745</v>
      </c>
      <c r="G27" s="8">
        <v>332395</v>
      </c>
    </row>
    <row r="28" spans="2:10">
      <c r="B28" s="23" t="s">
        <v>231</v>
      </c>
      <c r="C28" s="8">
        <v>-1391121</v>
      </c>
      <c r="D28" s="8">
        <v>-991412</v>
      </c>
      <c r="E28" s="9">
        <v>0.40300000000000002</v>
      </c>
      <c r="G28" s="8">
        <v>-399709</v>
      </c>
    </row>
    <row r="29" spans="2:10">
      <c r="B29" s="48" t="s">
        <v>268</v>
      </c>
      <c r="C29" s="309">
        <v>4714394</v>
      </c>
      <c r="D29" s="309">
        <v>3136698</v>
      </c>
      <c r="E29" s="11">
        <v>0.503</v>
      </c>
      <c r="F29" s="12"/>
      <c r="G29" s="10">
        <v>1577696</v>
      </c>
    </row>
    <row r="30" spans="2:10">
      <c r="C30" s="259">
        <v>0</v>
      </c>
      <c r="D30" s="259">
        <v>0</v>
      </c>
    </row>
    <row r="31" spans="2:10">
      <c r="C31" s="32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N39"/>
  <sheetViews>
    <sheetView showGridLines="0" workbookViewId="0">
      <selection activeCell="A16" sqref="A16:XFD1048576"/>
    </sheetView>
  </sheetViews>
  <sheetFormatPr baseColWidth="10" defaultColWidth="0" defaultRowHeight="12.75" zeroHeight="1"/>
  <cols>
    <col min="1" max="1" width="4" style="30" customWidth="1"/>
    <col min="2" max="2" width="25.42578125" style="30" bestFit="1" customWidth="1"/>
    <col min="3" max="8" width="11.42578125" style="30" customWidth="1"/>
    <col min="9" max="14" width="0" style="30" hidden="1" customWidth="1"/>
    <col min="15" max="16384" width="11.42578125" style="30" hidden="1"/>
  </cols>
  <sheetData>
    <row r="1" spans="1:14" ht="15" customHeight="1">
      <c r="A1" s="29" t="s">
        <v>207</v>
      </c>
    </row>
    <row r="2" spans="1:14"/>
    <row r="3" spans="1:14" ht="13.5" thickBot="1">
      <c r="B3" s="2" t="s">
        <v>240</v>
      </c>
      <c r="C3" s="342" t="s">
        <v>385</v>
      </c>
      <c r="D3" s="342" t="s">
        <v>386</v>
      </c>
      <c r="E3" s="342" t="s">
        <v>181</v>
      </c>
      <c r="F3" s="7"/>
      <c r="G3" s="342" t="s">
        <v>415</v>
      </c>
    </row>
    <row r="4" spans="1:14" ht="15" customHeight="1">
      <c r="B4" s="4" t="s">
        <v>177</v>
      </c>
      <c r="C4" s="308">
        <v>143355594</v>
      </c>
      <c r="D4" s="308">
        <v>138426249</v>
      </c>
      <c r="E4" s="9">
        <v>3.5999999999999997E-2</v>
      </c>
      <c r="F4" s="7"/>
      <c r="G4" s="8">
        <v>4929345</v>
      </c>
    </row>
    <row r="5" spans="1:14" s="31" customFormat="1" ht="15" customHeight="1">
      <c r="B5" s="4" t="s">
        <v>190</v>
      </c>
      <c r="C5" s="308">
        <v>-84583869</v>
      </c>
      <c r="D5" s="308">
        <v>-78768374</v>
      </c>
      <c r="E5" s="9">
        <v>7.3999999999999996E-2</v>
      </c>
      <c r="F5" s="7"/>
      <c r="G5" s="8">
        <v>-5815495</v>
      </c>
    </row>
    <row r="6" spans="1:14" s="31" customFormat="1" ht="15" customHeight="1">
      <c r="B6" s="5" t="s">
        <v>191</v>
      </c>
      <c r="C6" s="326">
        <v>58771725</v>
      </c>
      <c r="D6" s="326">
        <v>59657875</v>
      </c>
      <c r="E6" s="11">
        <v>-1.4999999999999999E-2</v>
      </c>
      <c r="F6" s="12"/>
      <c r="G6" s="10">
        <v>-886150</v>
      </c>
    </row>
    <row r="7" spans="1:14" s="31" customFormat="1" ht="15" customHeight="1">
      <c r="B7" s="4" t="s">
        <v>192</v>
      </c>
      <c r="C7" s="308">
        <v>-20220051</v>
      </c>
      <c r="D7" s="308">
        <v>-19264529</v>
      </c>
      <c r="E7" s="9">
        <v>0.05</v>
      </c>
      <c r="F7" s="7"/>
      <c r="G7" s="8">
        <v>-955522</v>
      </c>
      <c r="L7" s="22"/>
      <c r="M7" s="22"/>
      <c r="N7" s="32"/>
    </row>
    <row r="8" spans="1:14" s="31" customFormat="1" ht="15" customHeight="1">
      <c r="B8" s="5" t="s">
        <v>193</v>
      </c>
      <c r="C8" s="326">
        <v>38551674</v>
      </c>
      <c r="D8" s="326">
        <v>40393346</v>
      </c>
      <c r="E8" s="11">
        <v>-4.5999999999999999E-2</v>
      </c>
      <c r="F8" s="12"/>
      <c r="G8" s="10">
        <v>-1841672</v>
      </c>
    </row>
    <row r="9" spans="1:14" s="31" customFormat="1" ht="15" customHeight="1">
      <c r="B9" s="4" t="s">
        <v>284</v>
      </c>
      <c r="C9" s="308">
        <v>-264659</v>
      </c>
      <c r="D9" s="308">
        <v>117193</v>
      </c>
      <c r="E9" s="9">
        <v>-3.258</v>
      </c>
      <c r="F9" s="49"/>
      <c r="G9" s="8">
        <v>-381852</v>
      </c>
    </row>
    <row r="10" spans="1:14" s="31" customFormat="1" ht="15" customHeight="1">
      <c r="B10" s="4" t="s">
        <v>315</v>
      </c>
      <c r="C10" s="308">
        <v>0</v>
      </c>
      <c r="D10" s="308">
        <v>0</v>
      </c>
      <c r="E10" s="9">
        <v>0</v>
      </c>
      <c r="F10" s="49"/>
      <c r="G10" s="8">
        <v>0</v>
      </c>
    </row>
    <row r="11" spans="1:14" s="31" customFormat="1" ht="15" customHeight="1">
      <c r="B11" s="4" t="s">
        <v>194</v>
      </c>
      <c r="C11" s="308">
        <v>-20775596</v>
      </c>
      <c r="D11" s="308">
        <v>-11279971</v>
      </c>
      <c r="E11" s="9">
        <v>0.84199999999999997</v>
      </c>
      <c r="F11" s="7"/>
      <c r="G11" s="8">
        <v>-9495625</v>
      </c>
    </row>
    <row r="12" spans="1:14" s="31" customFormat="1" ht="15" customHeight="1">
      <c r="B12" s="4" t="s">
        <v>231</v>
      </c>
      <c r="C12" s="308">
        <v>-2616166</v>
      </c>
      <c r="D12" s="443">
        <v>-7170908</v>
      </c>
      <c r="E12" s="9">
        <v>-0.63500000000000001</v>
      </c>
      <c r="F12" s="7"/>
      <c r="G12" s="8">
        <v>4554742</v>
      </c>
    </row>
    <row r="13" spans="1:14" s="31" customFormat="1" ht="15" customHeight="1">
      <c r="B13" s="4" t="s">
        <v>379</v>
      </c>
      <c r="C13" s="308">
        <v>-215</v>
      </c>
      <c r="D13" s="443">
        <v>-66</v>
      </c>
      <c r="E13" s="9">
        <v>2.258</v>
      </c>
      <c r="F13" s="7"/>
      <c r="G13" s="8">
        <v>-149</v>
      </c>
    </row>
    <row r="14" spans="1:14" s="31" customFormat="1" ht="15" customHeight="1">
      <c r="B14" s="5" t="s">
        <v>195</v>
      </c>
      <c r="C14" s="309">
        <v>14895038</v>
      </c>
      <c r="D14" s="442">
        <v>22059594</v>
      </c>
      <c r="E14" s="11">
        <v>-0.32500000000000001</v>
      </c>
      <c r="F14" s="12"/>
      <c r="G14" s="10">
        <v>-7164556</v>
      </c>
    </row>
    <row r="15" spans="1:14" s="31" customFormat="1" ht="15" customHeight="1">
      <c r="C15" s="309">
        <v>0</v>
      </c>
      <c r="D15" s="309">
        <v>0</v>
      </c>
    </row>
    <row r="16" spans="1:14" s="31" customFormat="1" ht="15" hidden="1" customHeight="1"/>
    <row r="17" s="31" customFormat="1" ht="15" hidden="1" customHeight="1"/>
    <row r="18" s="31" customFormat="1" ht="15" hidden="1" customHeight="1"/>
    <row r="19" s="31" customFormat="1" ht="15" hidden="1" customHeight="1"/>
    <row r="20" s="31" customFormat="1" ht="15" hidden="1" customHeight="1"/>
    <row r="21" s="31" customFormat="1" ht="15" hidden="1" customHeight="1"/>
    <row r="22" s="31" customFormat="1" ht="15" hidden="1" customHeight="1"/>
    <row r="23" s="31" customFormat="1" ht="15" hidden="1" customHeight="1"/>
    <row r="24" s="31" customFormat="1" ht="15" hidden="1" customHeight="1"/>
    <row r="25" s="31" customFormat="1" ht="15" hidden="1" customHeight="1"/>
    <row r="26" s="31" customFormat="1" ht="15" hidden="1" customHeight="1"/>
    <row r="27" s="31" customFormat="1" ht="15" hidden="1" customHeight="1"/>
    <row r="28" s="31" customFormat="1" ht="15" hidden="1" customHeight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33"/>
  <sheetViews>
    <sheetView showGridLines="0" workbookViewId="0">
      <selection activeCell="A32" sqref="A32:XFD1048576"/>
    </sheetView>
  </sheetViews>
  <sheetFormatPr baseColWidth="10" defaultColWidth="0" defaultRowHeight="15" customHeight="1" zeroHeight="1"/>
  <cols>
    <col min="1" max="1" width="3.85546875" style="7" customWidth="1"/>
    <col min="2" max="2" width="49.42578125" style="7" customWidth="1"/>
    <col min="3" max="4" width="15.5703125" style="7" customWidth="1"/>
    <col min="5" max="5" width="10.5703125" style="7" customWidth="1"/>
    <col min="6" max="6" width="11.42578125" style="7" customWidth="1"/>
    <col min="7" max="12" width="0" style="7" hidden="1" customWidth="1"/>
    <col min="13" max="16384" width="11.42578125" style="7" hidden="1"/>
  </cols>
  <sheetData>
    <row r="1" spans="2:11" ht="15" customHeight="1"/>
    <row r="2" spans="2:11" ht="15" customHeight="1">
      <c r="B2" s="14"/>
      <c r="C2" s="14"/>
      <c r="D2" s="14"/>
      <c r="E2" s="14"/>
    </row>
    <row r="3" spans="2:11" ht="15" customHeight="1" thickBot="1">
      <c r="B3" s="17" t="s">
        <v>182</v>
      </c>
      <c r="C3" s="6" t="s">
        <v>383</v>
      </c>
      <c r="D3" s="6" t="s">
        <v>367</v>
      </c>
      <c r="E3" s="17" t="s">
        <v>181</v>
      </c>
      <c r="H3" s="352"/>
      <c r="I3" s="352"/>
    </row>
    <row r="4" spans="2:11" ht="12.75" customHeight="1">
      <c r="B4" s="4" t="s">
        <v>2</v>
      </c>
      <c r="C4" s="447">
        <v>224484651</v>
      </c>
      <c r="D4" s="447">
        <v>275004410</v>
      </c>
      <c r="E4" s="448">
        <v>-0.184</v>
      </c>
      <c r="H4" s="352"/>
      <c r="I4" s="352"/>
    </row>
    <row r="5" spans="2:11" ht="12.75" customHeight="1">
      <c r="B5" s="4" t="s">
        <v>3</v>
      </c>
      <c r="C5" s="447">
        <v>2521054835</v>
      </c>
      <c r="D5" s="447">
        <v>2148343319</v>
      </c>
      <c r="E5" s="448">
        <v>0.17299999999999999</v>
      </c>
      <c r="H5" s="352"/>
      <c r="I5" s="352"/>
      <c r="J5" s="352"/>
      <c r="K5" s="321"/>
    </row>
    <row r="6" spans="2:11" ht="12.75" customHeight="1">
      <c r="B6" s="5" t="s">
        <v>72</v>
      </c>
      <c r="C6" s="449">
        <v>2745539486</v>
      </c>
      <c r="D6" s="449">
        <v>2423347729</v>
      </c>
      <c r="E6" s="450">
        <v>0.13300000000000001</v>
      </c>
    </row>
    <row r="7" spans="2:11" ht="12.75" customHeight="1">
      <c r="B7" s="17" t="s">
        <v>212</v>
      </c>
      <c r="C7" s="451"/>
      <c r="D7" s="451"/>
      <c r="E7" s="452"/>
    </row>
    <row r="8" spans="2:11" ht="12.75" customHeight="1">
      <c r="B8" s="4" t="s">
        <v>0</v>
      </c>
      <c r="C8" s="447">
        <v>249887542</v>
      </c>
      <c r="D8" s="447">
        <v>361668126</v>
      </c>
      <c r="E8" s="448">
        <v>-0.309</v>
      </c>
    </row>
    <row r="9" spans="2:11" ht="12.75" customHeight="1">
      <c r="B9" s="4" t="s">
        <v>1</v>
      </c>
      <c r="C9" s="447">
        <v>1324968459</v>
      </c>
      <c r="D9" s="447">
        <v>1175540305</v>
      </c>
      <c r="E9" s="448">
        <v>0.127</v>
      </c>
    </row>
    <row r="10" spans="2:11" ht="12.75" customHeight="1">
      <c r="B10" s="5" t="s">
        <v>73</v>
      </c>
      <c r="C10" s="449">
        <v>1574856001</v>
      </c>
      <c r="D10" s="449">
        <v>1537208431</v>
      </c>
      <c r="E10" s="450">
        <v>2.4E-2</v>
      </c>
    </row>
    <row r="11" spans="2:11" ht="12.75" customHeight="1">
      <c r="B11" s="14"/>
      <c r="C11" s="451"/>
      <c r="D11" s="451"/>
      <c r="E11" s="452"/>
    </row>
    <row r="12" spans="2:11" ht="12.75" customHeight="1">
      <c r="B12" s="4" t="s">
        <v>94</v>
      </c>
      <c r="C12" s="447">
        <v>1170649938</v>
      </c>
      <c r="D12" s="447">
        <v>886107830</v>
      </c>
      <c r="E12" s="448">
        <v>0.32100000000000001</v>
      </c>
    </row>
    <row r="13" spans="2:11" ht="12.75" customHeight="1">
      <c r="B13" s="4" t="s">
        <v>95</v>
      </c>
      <c r="C13" s="447">
        <v>33547</v>
      </c>
      <c r="D13" s="447">
        <v>31468</v>
      </c>
      <c r="E13" s="448">
        <v>6.6000000000000003E-2</v>
      </c>
    </row>
    <row r="14" spans="2:11" ht="12.75" customHeight="1">
      <c r="B14" s="5" t="s">
        <v>210</v>
      </c>
      <c r="C14" s="449">
        <v>1170683485</v>
      </c>
      <c r="D14" s="449">
        <v>886139298</v>
      </c>
      <c r="E14" s="450">
        <v>0.32100000000000001</v>
      </c>
    </row>
    <row r="15" spans="2:11" ht="12.75" customHeight="1">
      <c r="B15" s="5" t="s">
        <v>183</v>
      </c>
      <c r="C15" s="449">
        <v>2745539486</v>
      </c>
      <c r="D15" s="449">
        <v>2423347729</v>
      </c>
      <c r="E15" s="450">
        <v>0.13300000000000001</v>
      </c>
    </row>
    <row r="16" spans="2:11" ht="15" customHeight="1">
      <c r="B16" s="14"/>
      <c r="C16" s="14"/>
      <c r="D16" s="14"/>
      <c r="E16" s="14"/>
    </row>
    <row r="17" spans="2:5" ht="15" customHeight="1">
      <c r="C17" s="453">
        <v>0</v>
      </c>
      <c r="D17" s="453">
        <v>0</v>
      </c>
    </row>
    <row r="18" spans="2:5" ht="15" customHeight="1"/>
    <row r="19" spans="2:5" ht="15" customHeight="1">
      <c r="B19" s="355"/>
    </row>
    <row r="20" spans="2:5" ht="15" customHeight="1" thickBot="1">
      <c r="B20" s="353" t="s">
        <v>413</v>
      </c>
      <c r="C20" s="6" t="s">
        <v>383</v>
      </c>
      <c r="D20" s="6"/>
      <c r="E20" s="7" t="s">
        <v>323</v>
      </c>
    </row>
    <row r="21" spans="2:5" ht="15" customHeight="1">
      <c r="B21" s="23" t="s">
        <v>405</v>
      </c>
      <c r="C21" s="18">
        <v>25253612</v>
      </c>
      <c r="D21" s="18"/>
      <c r="E21" s="454"/>
    </row>
    <row r="22" spans="2:5" ht="15" customHeight="1">
      <c r="B22" s="23" t="s">
        <v>406</v>
      </c>
      <c r="C22" s="18">
        <v>13179148</v>
      </c>
      <c r="D22" s="18"/>
      <c r="E22" s="454"/>
    </row>
    <row r="23" spans="2:5" ht="15" customHeight="1">
      <c r="B23" s="23" t="s">
        <v>407</v>
      </c>
      <c r="C23" s="18">
        <v>11434639</v>
      </c>
      <c r="D23" s="18"/>
      <c r="E23" s="454"/>
    </row>
    <row r="24" spans="2:5" ht="15" customHeight="1">
      <c r="B24" s="23" t="s">
        <v>370</v>
      </c>
      <c r="C24" s="18">
        <v>4073361</v>
      </c>
      <c r="D24" s="18"/>
      <c r="E24" s="454"/>
    </row>
    <row r="25" spans="2:5" ht="15" customHeight="1">
      <c r="B25" s="23" t="s">
        <v>408</v>
      </c>
      <c r="C25" s="18">
        <v>3908829</v>
      </c>
      <c r="D25" s="18"/>
      <c r="E25" s="454"/>
    </row>
    <row r="26" spans="2:5" ht="15" customHeight="1">
      <c r="B26" s="23" t="s">
        <v>409</v>
      </c>
      <c r="C26" s="18">
        <v>2195632</v>
      </c>
      <c r="D26" s="18"/>
      <c r="E26" s="454"/>
    </row>
    <row r="27" spans="2:5" ht="15" customHeight="1">
      <c r="B27" s="23" t="s">
        <v>410</v>
      </c>
      <c r="C27" s="18">
        <v>1735993</v>
      </c>
      <c r="D27" s="18"/>
      <c r="E27" s="454"/>
    </row>
    <row r="28" spans="2:5" ht="15" customHeight="1">
      <c r="B28" s="23" t="s">
        <v>411</v>
      </c>
      <c r="C28" s="18">
        <v>1194850</v>
      </c>
      <c r="D28" s="18"/>
      <c r="E28" s="454"/>
    </row>
    <row r="29" spans="2:5" ht="15" customHeight="1">
      <c r="B29" s="23" t="s">
        <v>412</v>
      </c>
      <c r="C29" s="18">
        <v>946611</v>
      </c>
      <c r="D29" s="18"/>
      <c r="E29" s="454"/>
    </row>
    <row r="30" spans="2:5" ht="15" customHeight="1">
      <c r="B30" s="23" t="s">
        <v>371</v>
      </c>
      <c r="C30" s="18">
        <v>31561891</v>
      </c>
      <c r="D30" s="461"/>
      <c r="E30" s="461"/>
    </row>
    <row r="31" spans="2:5" ht="15" customHeight="1">
      <c r="B31" s="23"/>
      <c r="C31" s="18"/>
    </row>
    <row r="32" spans="2:5" ht="15" hidden="1" customHeight="1">
      <c r="B32" s="401"/>
      <c r="C32" s="18"/>
    </row>
    <row r="33" spans="3:3" ht="15" hidden="1" customHeight="1">
      <c r="C33" s="18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L63"/>
  <sheetViews>
    <sheetView showGridLines="0" zoomScaleNormal="100" workbookViewId="0">
      <selection activeCell="L13" sqref="A10:L13"/>
    </sheetView>
  </sheetViews>
  <sheetFormatPr baseColWidth="10" defaultColWidth="0" defaultRowHeight="15" customHeight="1" zeroHeight="1"/>
  <cols>
    <col min="1" max="1" width="26.140625" style="7" bestFit="1" customWidth="1"/>
    <col min="2" max="2" width="24.5703125" style="7" bestFit="1" customWidth="1"/>
    <col min="3" max="3" width="9.42578125" style="7" customWidth="1"/>
    <col min="4" max="4" width="11.140625" style="7" bestFit="1" customWidth="1"/>
    <col min="5" max="7" width="10.85546875" style="7" customWidth="1"/>
    <col min="8" max="8" width="12.42578125" style="7" customWidth="1"/>
    <col min="9" max="9" width="11.42578125" style="7" customWidth="1"/>
    <col min="10" max="10" width="14.5703125" style="7" customWidth="1"/>
    <col min="11" max="11" width="11.42578125" style="7" customWidth="1"/>
    <col min="12" max="12" width="30.140625" style="7" bestFit="1" customWidth="1"/>
    <col min="13" max="16384" width="11.42578125" style="7" hidden="1"/>
  </cols>
  <sheetData>
    <row r="1" spans="1:10" ht="15" customHeight="1">
      <c r="E1" s="33"/>
      <c r="F1" s="33"/>
      <c r="G1" s="33"/>
      <c r="H1" s="33"/>
    </row>
    <row r="2" spans="1:10" ht="18.75" customHeight="1" thickBot="1">
      <c r="B2" s="34" t="s">
        <v>258</v>
      </c>
      <c r="C2" s="35" t="s">
        <v>202</v>
      </c>
      <c r="D2" s="35" t="s">
        <v>203</v>
      </c>
      <c r="E2" s="35" t="s">
        <v>204</v>
      </c>
      <c r="F2" s="35" t="s">
        <v>213</v>
      </c>
      <c r="G2" s="35" t="s">
        <v>214</v>
      </c>
      <c r="H2" s="35" t="s">
        <v>215</v>
      </c>
    </row>
    <row r="3" spans="1:10" ht="15" customHeight="1">
      <c r="A3" s="350"/>
      <c r="B3" s="3" t="s">
        <v>205</v>
      </c>
      <c r="C3" s="36" t="s">
        <v>71</v>
      </c>
      <c r="D3" s="249">
        <v>168579944</v>
      </c>
      <c r="E3" s="250">
        <v>21250186</v>
      </c>
      <c r="F3" s="250">
        <v>39732862</v>
      </c>
      <c r="G3" s="250">
        <v>39004743</v>
      </c>
      <c r="H3" s="250">
        <v>68592153</v>
      </c>
      <c r="J3" s="321"/>
    </row>
    <row r="4" spans="1:10" ht="15" customHeight="1">
      <c r="A4" s="350"/>
      <c r="B4" s="4" t="s">
        <v>365</v>
      </c>
      <c r="C4" s="36" t="s">
        <v>71</v>
      </c>
      <c r="D4" s="249">
        <v>977119018</v>
      </c>
      <c r="E4" s="250">
        <v>18203401</v>
      </c>
      <c r="F4" s="250">
        <v>0</v>
      </c>
      <c r="G4" s="250">
        <v>105658714</v>
      </c>
      <c r="H4" s="250">
        <v>853256903</v>
      </c>
    </row>
    <row r="5" spans="1:10" ht="15" customHeight="1">
      <c r="A5" s="350"/>
      <c r="B5" s="4" t="s">
        <v>234</v>
      </c>
      <c r="C5" s="36" t="s">
        <v>71</v>
      </c>
      <c r="D5" s="249">
        <v>173856508</v>
      </c>
      <c r="E5" s="250">
        <v>49977601</v>
      </c>
      <c r="F5" s="250">
        <v>94165202</v>
      </c>
      <c r="G5" s="250">
        <v>29713705</v>
      </c>
      <c r="H5" s="250">
        <v>0</v>
      </c>
    </row>
    <row r="6" spans="1:10" ht="15" customHeight="1">
      <c r="A6" s="350"/>
      <c r="B6" s="4" t="s">
        <v>327</v>
      </c>
      <c r="C6" s="36" t="s">
        <v>326</v>
      </c>
      <c r="D6" s="249">
        <v>0</v>
      </c>
      <c r="E6" s="250">
        <v>0</v>
      </c>
      <c r="F6" s="250">
        <v>0</v>
      </c>
      <c r="G6" s="250">
        <v>0</v>
      </c>
      <c r="H6" s="250">
        <v>0</v>
      </c>
    </row>
    <row r="7" spans="1:10" ht="15" customHeight="1">
      <c r="B7" s="5" t="s">
        <v>312</v>
      </c>
      <c r="C7" s="36"/>
      <c r="D7" s="249">
        <v>1319555470</v>
      </c>
      <c r="E7" s="249">
        <v>89431188</v>
      </c>
      <c r="F7" s="249">
        <v>133898064</v>
      </c>
      <c r="G7" s="249">
        <v>174377162</v>
      </c>
      <c r="H7" s="249">
        <v>921849056</v>
      </c>
    </row>
    <row r="8" spans="1:10" ht="15" customHeight="1">
      <c r="A8" s="350"/>
      <c r="B8" s="322" t="s">
        <v>278</v>
      </c>
      <c r="C8" s="323" t="s">
        <v>71</v>
      </c>
      <c r="D8" s="324">
        <v>4021681</v>
      </c>
      <c r="E8" s="325">
        <v>1749268</v>
      </c>
      <c r="F8" s="325">
        <v>1468244</v>
      </c>
      <c r="G8" s="325">
        <v>804169</v>
      </c>
      <c r="H8" s="325">
        <v>0</v>
      </c>
    </row>
    <row r="9" spans="1:10" ht="15" customHeight="1" thickBot="1">
      <c r="A9" s="350"/>
      <c r="B9" s="5" t="s">
        <v>313</v>
      </c>
      <c r="C9" s="37"/>
      <c r="D9" s="251">
        <v>4021681</v>
      </c>
      <c r="E9" s="251">
        <v>1749268</v>
      </c>
      <c r="F9" s="251">
        <v>1468244</v>
      </c>
      <c r="G9" s="251">
        <v>804169</v>
      </c>
      <c r="H9" s="251">
        <v>0</v>
      </c>
    </row>
    <row r="10" spans="1:10" ht="15" customHeight="1">
      <c r="B10" s="38" t="s">
        <v>211</v>
      </c>
      <c r="C10" s="14"/>
      <c r="D10" s="249">
        <v>1323577151</v>
      </c>
      <c r="E10" s="249">
        <v>91180456</v>
      </c>
      <c r="F10" s="249">
        <v>135366308</v>
      </c>
      <c r="G10" s="249">
        <v>175181331</v>
      </c>
      <c r="H10" s="249">
        <v>921849056</v>
      </c>
      <c r="J10" s="21"/>
    </row>
    <row r="11" spans="1:10" ht="15" customHeight="1">
      <c r="D11" s="352">
        <v>0</v>
      </c>
    </row>
    <row r="12" spans="1:10" ht="15" customHeight="1">
      <c r="B12" s="7" t="s">
        <v>242</v>
      </c>
      <c r="D12" s="21"/>
      <c r="E12" s="21"/>
      <c r="F12" s="7" t="s">
        <v>243</v>
      </c>
      <c r="G12" s="21"/>
      <c r="H12" s="21"/>
    </row>
    <row r="13" spans="1:10" ht="15" customHeight="1">
      <c r="B13" s="39" t="s">
        <v>205</v>
      </c>
      <c r="C13" s="441">
        <v>0.127</v>
      </c>
      <c r="D13" s="40">
        <v>168579944</v>
      </c>
      <c r="E13" s="39"/>
      <c r="F13" s="39" t="s">
        <v>217</v>
      </c>
      <c r="G13" s="349">
        <v>0.89100000000000001</v>
      </c>
      <c r="H13" s="40">
        <v>1179895977</v>
      </c>
      <c r="I13" s="350"/>
    </row>
    <row r="14" spans="1:10" ht="15" customHeight="1">
      <c r="B14" s="39" t="s">
        <v>233</v>
      </c>
      <c r="C14" s="441">
        <v>0.73899999999999999</v>
      </c>
      <c r="D14" s="40">
        <v>977119018</v>
      </c>
      <c r="E14" s="39"/>
      <c r="F14" s="39" t="s">
        <v>216</v>
      </c>
      <c r="G14" s="349">
        <v>0.109</v>
      </c>
      <c r="H14" s="40">
        <v>143681174</v>
      </c>
      <c r="I14" s="350"/>
      <c r="J14" s="393"/>
    </row>
    <row r="15" spans="1:10" ht="15" customHeight="1">
      <c r="B15" s="39" t="s">
        <v>234</v>
      </c>
      <c r="C15" s="441">
        <v>0.13100000000000001</v>
      </c>
      <c r="D15" s="40">
        <v>173856508</v>
      </c>
      <c r="E15" s="39"/>
      <c r="F15" s="39"/>
      <c r="G15" s="351">
        <v>1</v>
      </c>
      <c r="H15" s="40">
        <v>1323577151</v>
      </c>
      <c r="J15" s="343"/>
    </row>
    <row r="16" spans="1:10" ht="12.75">
      <c r="B16" s="39" t="s">
        <v>278</v>
      </c>
      <c r="C16" s="441">
        <v>3.0000000000000001E-3</v>
      </c>
      <c r="D16" s="40">
        <v>4021681</v>
      </c>
      <c r="G16" s="41"/>
    </row>
    <row r="17" spans="3:8" ht="15" customHeight="1">
      <c r="C17" s="348">
        <v>1</v>
      </c>
      <c r="D17" s="344"/>
      <c r="G17" s="42"/>
    </row>
    <row r="18" spans="3:8" ht="15" customHeight="1">
      <c r="C18" s="41"/>
      <c r="D18" s="21"/>
      <c r="E18" s="21"/>
      <c r="F18" s="21"/>
      <c r="G18" s="21"/>
      <c r="H18" s="21"/>
    </row>
    <row r="19" spans="3:8" ht="15" customHeight="1">
      <c r="C19" s="42"/>
      <c r="D19" s="21"/>
      <c r="E19" s="21"/>
      <c r="F19" s="21"/>
      <c r="G19" s="21"/>
      <c r="H19" s="21"/>
    </row>
    <row r="20" spans="3:8" ht="15" customHeight="1">
      <c r="D20" s="21"/>
    </row>
    <row r="21" spans="3:8" ht="15" customHeight="1">
      <c r="D21" s="21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6" t="s">
        <v>301</v>
      </c>
      <c r="B43" s="312">
        <v>143681174</v>
      </c>
      <c r="C43" s="418">
        <v>0.1086</v>
      </c>
      <c r="D43" s="352">
        <v>0</v>
      </c>
    </row>
    <row r="44" spans="1:4" ht="15" customHeight="1">
      <c r="A44" s="116" t="s">
        <v>302</v>
      </c>
      <c r="B44" s="312">
        <v>30175334</v>
      </c>
      <c r="C44" s="418">
        <v>2.2800000000000001E-2</v>
      </c>
    </row>
    <row r="45" spans="1:4" ht="15" customHeight="1">
      <c r="A45" s="116" t="s">
        <v>233</v>
      </c>
      <c r="B45" s="312">
        <v>968661127</v>
      </c>
      <c r="C45" s="418">
        <v>0.73180000000000001</v>
      </c>
      <c r="D45" s="352">
        <v>0</v>
      </c>
    </row>
    <row r="46" spans="1:4" ht="15" customHeight="1">
      <c r="A46" s="116" t="s">
        <v>299</v>
      </c>
      <c r="B46" s="312">
        <v>168579944</v>
      </c>
      <c r="C46" s="418">
        <v>0.12740000000000001</v>
      </c>
      <c r="D46" s="321">
        <v>0</v>
      </c>
    </row>
    <row r="47" spans="1:4" ht="15" customHeight="1">
      <c r="A47" s="116" t="s">
        <v>324</v>
      </c>
      <c r="B47" s="312">
        <v>8457891</v>
      </c>
      <c r="C47" s="418">
        <v>6.4000000000000003E-3</v>
      </c>
      <c r="D47" s="116"/>
    </row>
    <row r="48" spans="1:4" ht="15" customHeight="1">
      <c r="A48" s="116" t="s">
        <v>381</v>
      </c>
      <c r="B48" s="312">
        <v>0</v>
      </c>
      <c r="C48" s="418">
        <v>0</v>
      </c>
    </row>
    <row r="49" spans="1:5" ht="15" customHeight="1">
      <c r="A49" s="116" t="s">
        <v>297</v>
      </c>
      <c r="B49" s="312">
        <v>4021681</v>
      </c>
      <c r="C49" s="418">
        <v>3.0000000000000001E-3</v>
      </c>
      <c r="D49" s="321">
        <v>0</v>
      </c>
    </row>
    <row r="50" spans="1:5" ht="15" customHeight="1">
      <c r="A50" s="115" t="s">
        <v>300</v>
      </c>
      <c r="B50" s="313">
        <v>1323577151</v>
      </c>
      <c r="C50" s="314">
        <v>0.99999999999999989</v>
      </c>
    </row>
    <row r="51" spans="1:5" ht="15" customHeight="1">
      <c r="A51" s="116"/>
    </row>
    <row r="52" spans="1:5" ht="15" customHeight="1">
      <c r="A52" s="310" t="s">
        <v>380</v>
      </c>
      <c r="B52" s="310"/>
      <c r="C52" s="310"/>
    </row>
    <row r="53" spans="1:5" ht="15" customHeight="1">
      <c r="A53" s="116" t="s">
        <v>217</v>
      </c>
      <c r="B53" s="116"/>
      <c r="C53" s="244">
        <v>0.89139999999999997</v>
      </c>
      <c r="D53" s="41"/>
    </row>
    <row r="54" spans="1:5" ht="15" customHeight="1">
      <c r="A54" s="116" t="s">
        <v>216</v>
      </c>
      <c r="B54" s="116"/>
      <c r="C54" s="244">
        <v>0.1086</v>
      </c>
      <c r="D54" s="41"/>
    </row>
    <row r="55" spans="1:5" ht="15" customHeight="1">
      <c r="A55" s="311" t="s">
        <v>198</v>
      </c>
      <c r="B55" s="311"/>
      <c r="C55" s="347">
        <v>1</v>
      </c>
      <c r="D55" s="41"/>
      <c r="E55" s="419"/>
    </row>
    <row r="56" spans="1:5" ht="15" customHeight="1">
      <c r="A56" s="116" t="s">
        <v>295</v>
      </c>
      <c r="B56" s="116"/>
      <c r="C56" s="216">
        <v>0.82099999999999995</v>
      </c>
    </row>
    <row r="57" spans="1:5" ht="15" customHeight="1">
      <c r="A57" s="116" t="s">
        <v>296</v>
      </c>
      <c r="B57" s="116"/>
      <c r="C57" s="216">
        <v>0.14299999999999999</v>
      </c>
    </row>
    <row r="58" spans="1:5" ht="15" customHeight="1">
      <c r="A58" s="116" t="s">
        <v>298</v>
      </c>
      <c r="B58" s="116"/>
      <c r="C58" s="216">
        <v>2.5999999999999999E-2</v>
      </c>
    </row>
    <row r="59" spans="1:5" ht="15" customHeight="1">
      <c r="A59" s="116" t="s">
        <v>324</v>
      </c>
      <c r="B59" s="116"/>
      <c r="C59" s="216">
        <v>7.0000000000000001E-3</v>
      </c>
    </row>
    <row r="60" spans="1:5" ht="15" customHeight="1">
      <c r="A60" s="116" t="s">
        <v>381</v>
      </c>
      <c r="B60" s="116"/>
      <c r="C60" s="216">
        <v>0</v>
      </c>
    </row>
    <row r="61" spans="1:5" ht="15" customHeight="1">
      <c r="A61" s="116" t="s">
        <v>297</v>
      </c>
      <c r="B61" s="116"/>
      <c r="C61" s="216">
        <v>3.0000000000000001E-3</v>
      </c>
    </row>
    <row r="62" spans="1:5" ht="15" customHeight="1">
      <c r="A62" s="311" t="s">
        <v>198</v>
      </c>
      <c r="B62" s="311"/>
      <c r="C62" s="347">
        <v>1</v>
      </c>
    </row>
    <row r="63" spans="1:5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  <pageSetUpPr fitToPage="1"/>
  </sheetPr>
  <dimension ref="A1:F8"/>
  <sheetViews>
    <sheetView showGridLines="0" workbookViewId="0">
      <selection activeCell="A9" sqref="A9:XFD1048576"/>
    </sheetView>
  </sheetViews>
  <sheetFormatPr baseColWidth="10" defaultColWidth="0" defaultRowHeight="15" customHeight="1" zeroHeight="1"/>
  <cols>
    <col min="1" max="1" width="6" style="7" customWidth="1"/>
    <col min="2" max="2" width="33.42578125" style="7" customWidth="1"/>
    <col min="3" max="4" width="12" style="7" bestFit="1" customWidth="1"/>
    <col min="5" max="6" width="11.42578125" style="7" customWidth="1"/>
    <col min="7" max="16384" width="11.42578125" style="7" hidden="1"/>
  </cols>
  <sheetData>
    <row r="1" spans="2:5" ht="15" customHeight="1"/>
    <row r="2" spans="2:5" ht="15" customHeight="1"/>
    <row r="3" spans="2:5" ht="15" customHeight="1" thickBot="1">
      <c r="B3" s="19" t="s">
        <v>275</v>
      </c>
      <c r="C3" s="6" t="s">
        <v>383</v>
      </c>
      <c r="D3" s="6" t="s">
        <v>384</v>
      </c>
      <c r="E3" s="6" t="s">
        <v>181</v>
      </c>
    </row>
    <row r="4" spans="2:5" ht="15" customHeight="1">
      <c r="B4" s="4" t="s">
        <v>184</v>
      </c>
      <c r="C4" s="8">
        <v>203238467</v>
      </c>
      <c r="D4" s="8">
        <v>172602343</v>
      </c>
      <c r="E4" s="43">
        <v>0.17699999999999999</v>
      </c>
    </row>
    <row r="5" spans="2:5" ht="15" customHeight="1">
      <c r="B5" s="4" t="s">
        <v>185</v>
      </c>
      <c r="C5" s="8">
        <v>-141473209</v>
      </c>
      <c r="D5" s="8">
        <v>-100435701</v>
      </c>
      <c r="E5" s="43">
        <v>0.40899999999999997</v>
      </c>
    </row>
    <row r="6" spans="2:5" ht="15" customHeight="1">
      <c r="B6" s="4" t="s">
        <v>186</v>
      </c>
      <c r="C6" s="8">
        <v>-96046926</v>
      </c>
      <c r="D6" s="8">
        <v>-105381750</v>
      </c>
      <c r="E6" s="43">
        <v>-8.8999999999999996E-2</v>
      </c>
    </row>
    <row r="7" spans="2:5" ht="15" customHeight="1">
      <c r="B7" s="5" t="s">
        <v>257</v>
      </c>
      <c r="C7" s="10">
        <v>-34281668</v>
      </c>
      <c r="D7" s="10">
        <v>-33215108</v>
      </c>
      <c r="E7" s="327">
        <v>3.2000000000000001E-2</v>
      </c>
    </row>
    <row r="8" spans="2:5" ht="15" customHeight="1">
      <c r="B8" s="5" t="s">
        <v>187</v>
      </c>
      <c r="C8" s="10">
        <v>74875013</v>
      </c>
      <c r="D8" s="10">
        <v>146120233</v>
      </c>
      <c r="E8" s="327">
        <v>-0.48799999999999999</v>
      </c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1:H17"/>
  <sheetViews>
    <sheetView showGridLines="0" workbookViewId="0">
      <selection activeCell="D15" sqref="D15"/>
    </sheetView>
  </sheetViews>
  <sheetFormatPr baseColWidth="10" defaultColWidth="0" defaultRowHeight="15" customHeight="1" zeroHeight="1"/>
  <cols>
    <col min="1" max="1" width="8" style="15" bestFit="1" customWidth="1"/>
    <col min="2" max="2" width="35.42578125" style="15" bestFit="1" customWidth="1"/>
    <col min="3" max="3" width="8.5703125" style="15" customWidth="1"/>
    <col min="4" max="5" width="13.5703125" style="15" customWidth="1"/>
    <col min="6" max="6" width="11.42578125" style="15" customWidth="1"/>
    <col min="7" max="8" width="0" style="15" hidden="1" customWidth="1"/>
    <col min="9" max="16384" width="11.42578125" style="15" hidden="1"/>
  </cols>
  <sheetData>
    <row r="1" spans="1:5" ht="15" customHeight="1"/>
    <row r="2" spans="1:5" ht="15" customHeight="1"/>
    <row r="3" spans="1:5" ht="15" customHeight="1" thickBot="1">
      <c r="B3" s="44"/>
      <c r="C3" s="35"/>
      <c r="D3" s="35" t="s">
        <v>383</v>
      </c>
      <c r="E3" s="35" t="s">
        <v>367</v>
      </c>
    </row>
    <row r="4" spans="1:5" ht="15" customHeight="1">
      <c r="B4" s="5" t="s">
        <v>64</v>
      </c>
      <c r="C4" s="4"/>
    </row>
    <row r="5" spans="1:5" ht="15" customHeight="1">
      <c r="A5" s="45"/>
      <c r="B5" s="4" t="s">
        <v>201</v>
      </c>
      <c r="C5" s="36" t="s">
        <v>65</v>
      </c>
      <c r="D5" s="445">
        <v>0.9</v>
      </c>
      <c r="E5" s="445">
        <v>0.76</v>
      </c>
    </row>
    <row r="6" spans="1:5" ht="15" customHeight="1">
      <c r="A6" s="45"/>
      <c r="B6" s="4" t="s">
        <v>188</v>
      </c>
      <c r="C6" s="36" t="s">
        <v>65</v>
      </c>
      <c r="D6" s="445">
        <v>0.3</v>
      </c>
      <c r="E6" s="445">
        <v>0.3</v>
      </c>
    </row>
    <row r="7" spans="1:5" ht="15" customHeight="1">
      <c r="B7" s="5" t="s">
        <v>66</v>
      </c>
      <c r="C7" s="4"/>
      <c r="D7" s="446"/>
      <c r="E7" s="446"/>
    </row>
    <row r="8" spans="1:5" ht="15" customHeight="1">
      <c r="B8" s="4" t="s">
        <v>189</v>
      </c>
      <c r="C8" s="36" t="s">
        <v>65</v>
      </c>
      <c r="D8" s="445">
        <v>1.35</v>
      </c>
      <c r="E8" s="445">
        <v>1.73</v>
      </c>
    </row>
    <row r="9" spans="1:5" ht="15" customHeight="1">
      <c r="A9" s="45"/>
      <c r="B9" s="4" t="s">
        <v>67</v>
      </c>
      <c r="C9" s="36" t="s">
        <v>65</v>
      </c>
      <c r="D9" s="445">
        <v>0.15870000000000001</v>
      </c>
      <c r="E9" s="445">
        <v>0.23530000000000001</v>
      </c>
    </row>
    <row r="10" spans="1:5" ht="15" customHeight="1">
      <c r="A10" s="45"/>
      <c r="B10" s="4" t="s">
        <v>68</v>
      </c>
      <c r="C10" s="36" t="s">
        <v>65</v>
      </c>
      <c r="D10" s="445">
        <v>0.84130000000000005</v>
      </c>
      <c r="E10" s="445">
        <v>0.76470000000000005</v>
      </c>
    </row>
    <row r="11" spans="1:5" ht="15" customHeight="1">
      <c r="A11" s="45"/>
      <c r="B11" s="4" t="s">
        <v>218</v>
      </c>
      <c r="C11" s="36" t="s">
        <v>65</v>
      </c>
      <c r="D11" s="445">
        <v>4.2699999999999996</v>
      </c>
      <c r="E11" s="445">
        <v>4.42</v>
      </c>
    </row>
    <row r="12" spans="1:5" ht="15" customHeight="1">
      <c r="B12" s="5" t="s">
        <v>69</v>
      </c>
      <c r="C12" s="4"/>
      <c r="D12" s="446"/>
      <c r="E12" s="446"/>
    </row>
    <row r="13" spans="1:5" ht="36">
      <c r="A13" s="45"/>
      <c r="B13" s="46" t="s">
        <v>219</v>
      </c>
      <c r="C13" s="36" t="s">
        <v>70</v>
      </c>
      <c r="D13" s="445">
        <v>12.44</v>
      </c>
      <c r="E13" s="445">
        <v>15.47</v>
      </c>
    </row>
    <row r="14" spans="1:5" ht="15" customHeight="1">
      <c r="A14" s="45"/>
      <c r="B14" s="4" t="s">
        <v>220</v>
      </c>
      <c r="C14" s="36" t="s">
        <v>70</v>
      </c>
      <c r="D14" s="445">
        <v>4.99</v>
      </c>
      <c r="E14" s="445">
        <v>5.7299999999999995</v>
      </c>
    </row>
    <row r="15" spans="1:5" ht="15" customHeight="1">
      <c r="A15" s="45"/>
      <c r="B15" s="4" t="s">
        <v>221</v>
      </c>
      <c r="C15" s="36" t="s">
        <v>71</v>
      </c>
      <c r="D15" s="445">
        <v>20.97</v>
      </c>
      <c r="E15" s="445">
        <v>21.8</v>
      </c>
    </row>
    <row r="16" spans="1:5" ht="15" customHeight="1">
      <c r="B16" s="4" t="s">
        <v>206</v>
      </c>
      <c r="C16" s="36" t="s">
        <v>70</v>
      </c>
      <c r="D16" s="445">
        <v>7.5600000000000005</v>
      </c>
      <c r="E16" s="445">
        <v>5.18</v>
      </c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V204"/>
  <sheetViews>
    <sheetView showGridLines="0" topLeftCell="E31" zoomScale="80" zoomScaleNormal="80" workbookViewId="0">
      <selection activeCell="O14" sqref="O14"/>
    </sheetView>
  </sheetViews>
  <sheetFormatPr baseColWidth="10" defaultColWidth="11.42578125" defaultRowHeight="15" customHeight="1"/>
  <cols>
    <col min="1" max="1" width="3.85546875" style="116" customWidth="1"/>
    <col min="2" max="2" width="39.85546875" style="116" customWidth="1"/>
    <col min="3" max="3" width="16.42578125" style="116" customWidth="1"/>
    <col min="4" max="4" width="18.85546875" style="116" bestFit="1" customWidth="1"/>
    <col min="5" max="6" width="18.5703125" style="116" bestFit="1" customWidth="1"/>
    <col min="7" max="7" width="17.42578125" style="116" customWidth="1"/>
    <col min="8" max="8" width="31.5703125" style="116" customWidth="1"/>
    <col min="9" max="9" width="7.140625" style="116" customWidth="1"/>
    <col min="10" max="10" width="21" style="116" bestFit="1" customWidth="1"/>
    <col min="11" max="11" width="11.140625" style="116" customWidth="1"/>
    <col min="12" max="12" width="17.85546875" style="116" customWidth="1"/>
    <col min="13" max="13" width="11.140625" style="116" customWidth="1"/>
    <col min="14" max="14" width="1.5703125" style="116" customWidth="1"/>
    <col min="15" max="15" width="10.5703125" style="116" customWidth="1"/>
    <col min="16" max="16" width="11.5703125" style="117" customWidth="1"/>
    <col min="17" max="17" width="13.42578125" style="116" customWidth="1"/>
    <col min="18" max="18" width="11.85546875" style="116" bestFit="1" customWidth="1"/>
    <col min="19" max="16384" width="11.42578125" style="116"/>
  </cols>
  <sheetData>
    <row r="1" spans="2:22" ht="15" customHeight="1">
      <c r="B1" s="115" t="s">
        <v>179</v>
      </c>
    </row>
    <row r="2" spans="2:22" ht="15" customHeight="1">
      <c r="B2" s="115" t="s">
        <v>178</v>
      </c>
      <c r="K2" s="120"/>
      <c r="T2" s="118"/>
    </row>
    <row r="3" spans="2:22" ht="15" customHeight="1" thickBot="1">
      <c r="H3" s="119" t="s">
        <v>4</v>
      </c>
      <c r="J3" s="120"/>
      <c r="K3" s="120"/>
      <c r="L3" s="120"/>
      <c r="R3" s="121"/>
    </row>
    <row r="4" spans="2:22" ht="15" customHeight="1" thickBot="1">
      <c r="B4" s="122" t="s">
        <v>6</v>
      </c>
      <c r="C4" s="123"/>
      <c r="D4" s="124" t="s">
        <v>389</v>
      </c>
      <c r="E4" s="124" t="s">
        <v>351</v>
      </c>
      <c r="F4" s="124" t="s">
        <v>325</v>
      </c>
      <c r="H4" s="115" t="s">
        <v>5</v>
      </c>
      <c r="J4" s="125" t="str">
        <f>+D4</f>
        <v>Sep-24</v>
      </c>
      <c r="L4" s="125" t="str">
        <f>+E4</f>
        <v>Dic-23</v>
      </c>
      <c r="O4" s="126"/>
      <c r="R4" s="127"/>
      <c r="S4" s="127"/>
      <c r="T4" s="128"/>
      <c r="U4" s="127"/>
      <c r="V4" s="127"/>
    </row>
    <row r="5" spans="2:22" ht="15" customHeight="1" thickBot="1">
      <c r="B5" s="129"/>
      <c r="C5" s="130"/>
      <c r="D5" s="130"/>
      <c r="E5" s="131"/>
      <c r="F5" s="132"/>
      <c r="H5" s="133" t="s">
        <v>7</v>
      </c>
      <c r="J5" s="120"/>
      <c r="K5" s="120"/>
      <c r="M5" s="120"/>
      <c r="P5" s="134"/>
    </row>
    <row r="6" spans="2:22" ht="15" customHeight="1">
      <c r="B6" s="135" t="s">
        <v>47</v>
      </c>
      <c r="C6" s="136" t="s">
        <v>8</v>
      </c>
      <c r="D6" s="137">
        <f>+Balance!D15</f>
        <v>224484651</v>
      </c>
      <c r="E6" s="138">
        <f>+Balance!E15</f>
        <v>275004410</v>
      </c>
      <c r="F6" s="139">
        <f>+[2]Cálculos!$E$6</f>
        <v>324838124</v>
      </c>
      <c r="H6" s="115" t="s">
        <v>9</v>
      </c>
      <c r="J6" s="120"/>
      <c r="K6" s="120"/>
      <c r="M6" s="120"/>
      <c r="O6" s="140"/>
    </row>
    <row r="7" spans="2:22" ht="15" customHeight="1">
      <c r="B7" s="135" t="s">
        <v>48</v>
      </c>
      <c r="C7" s="136" t="s">
        <v>8</v>
      </c>
      <c r="D7" s="137">
        <f>+Balance!D26</f>
        <v>2521054835</v>
      </c>
      <c r="E7" s="138">
        <f>+Balance!E26</f>
        <v>2148343319</v>
      </c>
      <c r="F7" s="139">
        <f>+[2]Cálculos!$E$7</f>
        <v>2054511436</v>
      </c>
      <c r="H7" s="141" t="s">
        <v>45</v>
      </c>
      <c r="I7" s="116" t="s">
        <v>10</v>
      </c>
      <c r="J7" s="142">
        <f>+D6</f>
        <v>224484651</v>
      </c>
      <c r="K7" s="143">
        <f>ROUND(J7/J8,2)</f>
        <v>0.9</v>
      </c>
      <c r="L7" s="142">
        <f>+E6</f>
        <v>275004410</v>
      </c>
      <c r="M7" s="143">
        <f>ROUND(L7/L8,2)</f>
        <v>0.76</v>
      </c>
      <c r="N7" s="144"/>
      <c r="O7" s="145">
        <f>ROUND((K7/M7)-1,3)</f>
        <v>0.184</v>
      </c>
      <c r="P7" s="146">
        <f>ROUND((J7/L7)-1,3)</f>
        <v>-0.184</v>
      </c>
      <c r="Q7" s="120">
        <f>+J7-L7</f>
        <v>-50519759</v>
      </c>
    </row>
    <row r="8" spans="2:22" ht="15" customHeight="1">
      <c r="B8" s="147" t="s">
        <v>11</v>
      </c>
      <c r="C8" s="148"/>
      <c r="D8" s="149">
        <f>SUM(D6:D7)</f>
        <v>2745539486</v>
      </c>
      <c r="E8" s="150">
        <f>SUM(E6:E7)</f>
        <v>2423347729</v>
      </c>
      <c r="F8" s="151">
        <f>SUM(F6:F7)</f>
        <v>2379349560</v>
      </c>
      <c r="H8" s="116" t="s">
        <v>46</v>
      </c>
      <c r="J8" s="120">
        <f>+D10</f>
        <v>249887542</v>
      </c>
      <c r="K8" s="120"/>
      <c r="L8" s="120">
        <f>+E10</f>
        <v>361668126</v>
      </c>
      <c r="M8" s="120"/>
      <c r="O8" s="152"/>
      <c r="P8" s="146">
        <f>ROUND((J8/L8)-1,3)</f>
        <v>-0.309</v>
      </c>
      <c r="Q8" s="120">
        <f>+J8-L8</f>
        <v>-111780584</v>
      </c>
    </row>
    <row r="9" spans="2:22" ht="15" customHeight="1">
      <c r="B9" s="135"/>
      <c r="C9" s="130"/>
      <c r="D9" s="137"/>
      <c r="E9" s="138"/>
      <c r="F9" s="139"/>
      <c r="H9" s="115" t="s">
        <v>12</v>
      </c>
      <c r="J9" s="120"/>
      <c r="K9" s="120"/>
      <c r="L9" s="120"/>
      <c r="M9" s="120"/>
      <c r="O9" s="153"/>
    </row>
    <row r="10" spans="2:22" ht="15" customHeight="1">
      <c r="B10" s="135" t="s">
        <v>50</v>
      </c>
      <c r="C10" s="136" t="s">
        <v>8</v>
      </c>
      <c r="D10" s="137">
        <f>+Balance!D44</f>
        <v>249887542</v>
      </c>
      <c r="E10" s="138">
        <f>+Balance!E44</f>
        <v>361668126</v>
      </c>
      <c r="F10" s="139">
        <f>+[2]Cálculos!$E$10</f>
        <v>265797147</v>
      </c>
      <c r="H10" s="141" t="s">
        <v>55</v>
      </c>
      <c r="I10" s="116" t="s">
        <v>10</v>
      </c>
      <c r="J10" s="142">
        <f>+D33</f>
        <v>74875013</v>
      </c>
      <c r="K10" s="143">
        <f>ROUND(J10/J11,2)</f>
        <v>0.3</v>
      </c>
      <c r="L10" s="142">
        <f>+Balance!E6</f>
        <v>109156681</v>
      </c>
      <c r="M10" s="143">
        <f>ROUND(L10/L11,2)</f>
        <v>0.3</v>
      </c>
      <c r="N10" s="144"/>
      <c r="O10" s="145">
        <f>ROUND((K10/M10)-1,4)</f>
        <v>0</v>
      </c>
      <c r="P10" s="146">
        <f>ROUND((J10/L10)-1,3)</f>
        <v>-0.314</v>
      </c>
      <c r="Q10" s="120">
        <f>+J10-L10</f>
        <v>-34281668</v>
      </c>
      <c r="R10" s="154"/>
    </row>
    <row r="11" spans="2:22" ht="15" customHeight="1" thickBot="1">
      <c r="B11" s="135" t="s">
        <v>49</v>
      </c>
      <c r="C11" s="136" t="s">
        <v>8</v>
      </c>
      <c r="D11" s="137">
        <f>+Balance!D54</f>
        <v>1324968459</v>
      </c>
      <c r="E11" s="138">
        <f>+Balance!E54</f>
        <v>1175540305</v>
      </c>
      <c r="F11" s="139">
        <f>+[2]Cálculos!$E$11</f>
        <v>1274661314</v>
      </c>
      <c r="H11" s="116" t="s">
        <v>46</v>
      </c>
      <c r="J11" s="120">
        <f>+D10</f>
        <v>249887542</v>
      </c>
      <c r="K11" s="120"/>
      <c r="L11" s="120">
        <f>+E10</f>
        <v>361668126</v>
      </c>
      <c r="M11" s="120"/>
      <c r="O11" s="152"/>
      <c r="P11" s="146">
        <f>ROUND((J11/L11)-1,3)</f>
        <v>-0.309</v>
      </c>
      <c r="Q11" s="120">
        <f>+J11-L11</f>
        <v>-111780584</v>
      </c>
    </row>
    <row r="12" spans="2:22" ht="15" customHeight="1" thickBot="1">
      <c r="B12" s="135" t="s">
        <v>51</v>
      </c>
      <c r="C12" s="136" t="s">
        <v>8</v>
      </c>
      <c r="D12" s="137">
        <f>+Balance!D64</f>
        <v>33547</v>
      </c>
      <c r="E12" s="138">
        <f>+Balance!E64</f>
        <v>31468</v>
      </c>
      <c r="F12" s="139">
        <f>+[2]Cálculos!$E$12</f>
        <v>29573</v>
      </c>
      <c r="H12" s="133" t="s">
        <v>13</v>
      </c>
      <c r="J12" s="120"/>
      <c r="K12" s="120"/>
      <c r="L12" s="120"/>
      <c r="M12" s="120"/>
      <c r="O12" s="152"/>
    </row>
    <row r="13" spans="2:22" ht="15" customHeight="1">
      <c r="B13" s="135" t="s">
        <v>98</v>
      </c>
      <c r="C13" s="136" t="s">
        <v>8</v>
      </c>
      <c r="D13" s="137">
        <f>+Balance!D63</f>
        <v>1170649938</v>
      </c>
      <c r="E13" s="138">
        <f>+Balance!E63</f>
        <v>886107830</v>
      </c>
      <c r="F13" s="139">
        <f>+[2]Cálculos!$E$13</f>
        <v>838861526</v>
      </c>
      <c r="H13" s="115" t="s">
        <v>14</v>
      </c>
      <c r="J13" s="120"/>
      <c r="K13" s="120"/>
      <c r="L13" s="120"/>
      <c r="M13" s="120"/>
      <c r="O13" s="152"/>
    </row>
    <row r="14" spans="2:22" ht="15" customHeight="1" thickBot="1">
      <c r="B14" s="155" t="s">
        <v>11</v>
      </c>
      <c r="C14" s="156"/>
      <c r="D14" s="157">
        <f>SUM(D10:D13)</f>
        <v>2745539486</v>
      </c>
      <c r="E14" s="158">
        <f>SUM(E10:E13)</f>
        <v>2423347729</v>
      </c>
      <c r="F14" s="159">
        <f>SUM(F10:F13)</f>
        <v>2379349560</v>
      </c>
      <c r="H14" s="141" t="s">
        <v>15</v>
      </c>
      <c r="I14" s="116" t="s">
        <v>10</v>
      </c>
      <c r="J14" s="142">
        <f>+D10+D11</f>
        <v>1574856001</v>
      </c>
      <c r="K14" s="160">
        <f>ROUND(J14/J15,2)</f>
        <v>1.35</v>
      </c>
      <c r="L14" s="142">
        <f>+E10+E11</f>
        <v>1537208431</v>
      </c>
      <c r="M14" s="160">
        <f>ROUND(L14/L15,2)</f>
        <v>1.73</v>
      </c>
      <c r="N14" s="161"/>
      <c r="O14" s="145">
        <f>ROUND((K14/M14)-1,4)</f>
        <v>-0.21970000000000001</v>
      </c>
      <c r="P14" s="146">
        <f>ROUND((J14/L14)-1,3)</f>
        <v>2.4E-2</v>
      </c>
      <c r="Q14" s="120">
        <f>+J14-L14</f>
        <v>37647570</v>
      </c>
    </row>
    <row r="15" spans="2:22" ht="15" customHeight="1" thickBot="1">
      <c r="B15" s="162"/>
      <c r="D15" s="163">
        <f>+D8-D14</f>
        <v>0</v>
      </c>
      <c r="E15" s="163">
        <f t="shared" ref="E15:F15" si="0">+E8-E14</f>
        <v>0</v>
      </c>
      <c r="F15" s="163">
        <f t="shared" si="0"/>
        <v>0</v>
      </c>
      <c r="H15" s="116" t="s">
        <v>96</v>
      </c>
      <c r="J15" s="120">
        <f>+D13+D12</f>
        <v>1170683485</v>
      </c>
      <c r="K15" s="120"/>
      <c r="L15" s="120">
        <f>+E13+E12</f>
        <v>886139298</v>
      </c>
      <c r="M15" s="120"/>
      <c r="O15" s="152"/>
      <c r="P15" s="146">
        <f>ROUND((J15/L15)-1,3)</f>
        <v>0.32100000000000001</v>
      </c>
      <c r="Q15" s="120">
        <f>+J15-L15</f>
        <v>284544187</v>
      </c>
    </row>
    <row r="16" spans="2:22" ht="15" customHeight="1">
      <c r="B16" s="122" t="s">
        <v>16</v>
      </c>
      <c r="C16" s="123"/>
      <c r="D16" s="164" t="str">
        <f>+$D$4</f>
        <v>Sep-24</v>
      </c>
      <c r="E16" s="164" t="s">
        <v>390</v>
      </c>
      <c r="F16" s="164" t="s">
        <v>351</v>
      </c>
      <c r="H16" s="115" t="s">
        <v>17</v>
      </c>
      <c r="J16" s="120"/>
      <c r="K16" s="120"/>
      <c r="L16" s="120"/>
      <c r="M16" s="120"/>
      <c r="O16" s="140"/>
    </row>
    <row r="17" spans="1:20" ht="15" customHeight="1">
      <c r="B17" s="129"/>
      <c r="C17" s="165"/>
      <c r="D17" s="166"/>
      <c r="E17" s="166"/>
      <c r="F17" s="167"/>
      <c r="H17" s="168" t="s">
        <v>46</v>
      </c>
      <c r="I17" s="116" t="s">
        <v>10</v>
      </c>
      <c r="J17" s="142">
        <f>+D10</f>
        <v>249887542</v>
      </c>
      <c r="K17" s="160">
        <f>ROUND(J17/J18,4)</f>
        <v>0.15870000000000001</v>
      </c>
      <c r="L17" s="142">
        <f>+E10</f>
        <v>361668126</v>
      </c>
      <c r="M17" s="160">
        <f>ROUND(L17/L18,4)</f>
        <v>0.23530000000000001</v>
      </c>
      <c r="N17" s="161"/>
      <c r="O17" s="145">
        <f>ROUND((K17/M17)-1,4)</f>
        <v>-0.32550000000000001</v>
      </c>
      <c r="P17" s="146">
        <f>ROUND((J17/L17)-1,3)</f>
        <v>-0.309</v>
      </c>
      <c r="Q17" s="120">
        <f>+J17-L17</f>
        <v>-111780584</v>
      </c>
      <c r="R17" s="145"/>
    </row>
    <row r="18" spans="1:20" ht="15" customHeight="1">
      <c r="B18" s="135" t="s">
        <v>59</v>
      </c>
      <c r="C18" s="136" t="s">
        <v>8</v>
      </c>
      <c r="D18" s="166">
        <f>+C50</f>
        <v>483042204</v>
      </c>
      <c r="E18" s="166">
        <f>+D50</f>
        <v>475235519</v>
      </c>
      <c r="F18" s="167">
        <f>+E50</f>
        <v>640855854</v>
      </c>
      <c r="H18" s="116" t="s">
        <v>18</v>
      </c>
      <c r="J18" s="120">
        <f>+D10+D11</f>
        <v>1574856001</v>
      </c>
      <c r="K18" s="120"/>
      <c r="L18" s="120">
        <f>+E10+E11</f>
        <v>1537208431</v>
      </c>
      <c r="M18" s="120"/>
      <c r="O18" s="152"/>
      <c r="P18" s="146">
        <f>ROUND((J18/L18)-1,3)</f>
        <v>2.4E-2</v>
      </c>
      <c r="Q18" s="120">
        <f>+J18-L18</f>
        <v>37647570</v>
      </c>
    </row>
    <row r="19" spans="1:20" ht="15" customHeight="1">
      <c r="B19" s="135" t="s">
        <v>60</v>
      </c>
      <c r="C19" s="136" t="s">
        <v>8</v>
      </c>
      <c r="D19" s="166">
        <f>-C51-C53-C54-C55-C52</f>
        <v>308806660</v>
      </c>
      <c r="E19" s="166">
        <f>-D51-D53-D54-D55-D52</f>
        <v>300609134</v>
      </c>
      <c r="F19" s="167">
        <f>-E51-E53-E54-E55-E52</f>
        <v>400257261</v>
      </c>
      <c r="H19" s="115" t="s">
        <v>19</v>
      </c>
      <c r="J19" s="120"/>
      <c r="K19" s="120"/>
      <c r="L19" s="120"/>
      <c r="M19" s="120"/>
      <c r="O19" s="140"/>
      <c r="P19" s="169"/>
      <c r="Q19" s="120"/>
      <c r="R19" s="152"/>
      <c r="T19" s="120"/>
    </row>
    <row r="20" spans="1:20" ht="15" customHeight="1">
      <c r="B20" s="129" t="s">
        <v>75</v>
      </c>
      <c r="C20" s="165" t="s">
        <v>8</v>
      </c>
      <c r="D20" s="170">
        <f>+C64</f>
        <v>115732484</v>
      </c>
      <c r="E20" s="170">
        <f>+D64</f>
        <v>121699112</v>
      </c>
      <c r="F20" s="171">
        <f>+E64</f>
        <v>167301553</v>
      </c>
      <c r="H20" s="168" t="s">
        <v>56</v>
      </c>
      <c r="I20" s="116" t="s">
        <v>10</v>
      </c>
      <c r="J20" s="142">
        <f>+D11</f>
        <v>1324968459</v>
      </c>
      <c r="K20" s="160">
        <f>ROUND(J20/J21,4)</f>
        <v>0.84130000000000005</v>
      </c>
      <c r="L20" s="142">
        <f>+E11</f>
        <v>1175540305</v>
      </c>
      <c r="M20" s="160">
        <f>ROUND(L20/L21,4)</f>
        <v>0.76470000000000005</v>
      </c>
      <c r="N20" s="161"/>
      <c r="O20" s="145">
        <f>ROUND((K20/M20)-1,4)</f>
        <v>0.1002</v>
      </c>
      <c r="P20" s="146">
        <f>ROUND((J20/L20)-1,3)</f>
        <v>0.127</v>
      </c>
      <c r="Q20" s="120">
        <f>+J20-L20</f>
        <v>149428154</v>
      </c>
      <c r="R20" s="152"/>
      <c r="T20" s="120"/>
    </row>
    <row r="21" spans="1:20" ht="15" customHeight="1">
      <c r="B21" s="135" t="s">
        <v>22</v>
      </c>
      <c r="C21" s="136" t="s">
        <v>8</v>
      </c>
      <c r="D21" s="166">
        <f>+C58</f>
        <v>-37232930</v>
      </c>
      <c r="E21" s="166">
        <f>+D58</f>
        <v>-36680405</v>
      </c>
      <c r="F21" s="167">
        <f>+E58</f>
        <v>-48849432</v>
      </c>
      <c r="H21" s="116" t="s">
        <v>18</v>
      </c>
      <c r="J21" s="120">
        <f>+J18</f>
        <v>1574856001</v>
      </c>
      <c r="K21" s="120" t="s">
        <v>4</v>
      </c>
      <c r="L21" s="120">
        <f>+L18</f>
        <v>1537208431</v>
      </c>
      <c r="M21" s="120" t="s">
        <v>4</v>
      </c>
      <c r="O21" s="152"/>
      <c r="P21" s="146">
        <f>ROUND((J21/L21)-1,3)</f>
        <v>2.4E-2</v>
      </c>
      <c r="Q21" s="120">
        <f>+J21-L21</f>
        <v>37647570</v>
      </c>
      <c r="T21" s="120"/>
    </row>
    <row r="22" spans="1:20" ht="15" customHeight="1">
      <c r="B22" s="135" t="s">
        <v>24</v>
      </c>
      <c r="C22" s="136" t="s">
        <v>8</v>
      </c>
      <c r="D22" s="166">
        <f>+J32</f>
        <v>213761177</v>
      </c>
      <c r="E22" s="166">
        <f>+L32</f>
        <v>293836545</v>
      </c>
      <c r="F22" s="167">
        <f>+M32</f>
        <v>-0.27250000000000002</v>
      </c>
      <c r="H22" s="115" t="s">
        <v>20</v>
      </c>
      <c r="J22" s="120"/>
      <c r="K22" s="120"/>
      <c r="L22" s="120"/>
      <c r="M22" s="120"/>
      <c r="O22" s="152"/>
      <c r="P22" s="172"/>
    </row>
    <row r="23" spans="1:20" ht="15" customHeight="1">
      <c r="B23" s="135" t="s">
        <v>25</v>
      </c>
      <c r="C23" s="136" t="s">
        <v>8</v>
      </c>
      <c r="D23" s="166">
        <f>+C69</f>
        <v>91402116</v>
      </c>
      <c r="E23" s="166">
        <f>+D69</f>
        <v>96482376</v>
      </c>
      <c r="F23" s="167">
        <f>+E69</f>
        <v>133390421</v>
      </c>
      <c r="H23" s="141" t="s">
        <v>21</v>
      </c>
      <c r="J23" s="369">
        <f>Anualizados!C13</f>
        <v>210736882</v>
      </c>
      <c r="K23" s="143">
        <f>ROUND(J23/J24,2)</f>
        <v>4.2699999999999996</v>
      </c>
      <c r="L23" s="142">
        <f>+F20-F21</f>
        <v>216150985</v>
      </c>
      <c r="M23" s="143">
        <f>ROUND(L23/L24,2)</f>
        <v>4.42</v>
      </c>
      <c r="N23" s="173"/>
      <c r="O23" s="145">
        <f>ROUND((K23/M23)-1,4)</f>
        <v>-3.39E-2</v>
      </c>
      <c r="P23" s="146">
        <f>ROUND((J23/L23)-1,3)</f>
        <v>-2.5000000000000001E-2</v>
      </c>
      <c r="Q23" s="120">
        <f>+J23-L23</f>
        <v>-5414103</v>
      </c>
    </row>
    <row r="24" spans="1:20" ht="15" customHeight="1" thickBot="1">
      <c r="B24" s="135" t="s">
        <v>26</v>
      </c>
      <c r="C24" s="136" t="s">
        <v>8</v>
      </c>
      <c r="D24" s="166">
        <f>+C65</f>
        <v>-24328925</v>
      </c>
      <c r="E24" s="166">
        <f>+D65</f>
        <v>-25215487</v>
      </c>
      <c r="F24" s="167">
        <f>+E65</f>
        <v>-33909237</v>
      </c>
      <c r="H24" s="116" t="s">
        <v>23</v>
      </c>
      <c r="J24" s="120">
        <f>Anualizados!C20</f>
        <v>49401957</v>
      </c>
      <c r="K24" s="174"/>
      <c r="L24" s="120">
        <f>-E58</f>
        <v>48849432</v>
      </c>
      <c r="M24" s="174"/>
      <c r="O24" s="120"/>
      <c r="P24" s="175">
        <f>ROUND((J24/L24)-1,3)</f>
        <v>1.0999999999999999E-2</v>
      </c>
      <c r="Q24" s="120">
        <f>+J24-L24</f>
        <v>552525</v>
      </c>
      <c r="T24" s="161"/>
    </row>
    <row r="25" spans="1:20" ht="15" customHeight="1" thickBot="1">
      <c r="B25" s="176" t="s">
        <v>61</v>
      </c>
      <c r="C25" s="177" t="s">
        <v>8</v>
      </c>
      <c r="D25" s="178">
        <f>+C53</f>
        <v>-60798649</v>
      </c>
      <c r="E25" s="178">
        <f>+D53</f>
        <v>-56569056</v>
      </c>
      <c r="F25" s="179">
        <f>+E53</f>
        <v>-77689350</v>
      </c>
      <c r="H25" s="180" t="s">
        <v>27</v>
      </c>
      <c r="I25" s="181"/>
      <c r="J25" s="182"/>
      <c r="K25" s="182"/>
      <c r="L25" s="182"/>
      <c r="M25" s="182"/>
      <c r="N25" s="181"/>
      <c r="O25" s="183"/>
      <c r="P25" s="181"/>
    </row>
    <row r="26" spans="1:20" ht="15" customHeight="1" thickBot="1">
      <c r="C26" s="127"/>
      <c r="D26" s="184"/>
      <c r="E26" s="185"/>
      <c r="F26" s="184"/>
      <c r="H26" s="181" t="s">
        <v>57</v>
      </c>
      <c r="I26" s="181" t="s">
        <v>10</v>
      </c>
      <c r="J26" s="186">
        <f>+D23</f>
        <v>91402116</v>
      </c>
      <c r="K26" s="182"/>
      <c r="L26" s="186">
        <f>+F23</f>
        <v>133390421</v>
      </c>
      <c r="M26" s="182"/>
      <c r="N26" s="181"/>
      <c r="O26" s="183"/>
      <c r="P26" s="181">
        <v>1000</v>
      </c>
      <c r="R26" s="152"/>
    </row>
    <row r="27" spans="1:20" ht="15" customHeight="1">
      <c r="A27" s="187"/>
      <c r="B27" s="122" t="s">
        <v>74</v>
      </c>
      <c r="C27" s="123"/>
      <c r="D27" s="164" t="str">
        <f>+$D$4</f>
        <v>Sep-24</v>
      </c>
      <c r="E27" s="164" t="str">
        <f>+E16</f>
        <v>Sep-23</v>
      </c>
      <c r="F27" s="164" t="str">
        <f>+F16</f>
        <v>Dic-23</v>
      </c>
      <c r="H27" s="181" t="s">
        <v>29</v>
      </c>
      <c r="I27" s="181" t="s">
        <v>10</v>
      </c>
      <c r="J27" s="186">
        <f>-D24</f>
        <v>24328925</v>
      </c>
      <c r="K27" s="182"/>
      <c r="L27" s="186">
        <f>-F24</f>
        <v>33909237</v>
      </c>
      <c r="M27" s="182"/>
      <c r="N27" s="181"/>
      <c r="O27" s="183"/>
      <c r="P27" s="181"/>
      <c r="Q27" s="161"/>
      <c r="R27" s="152"/>
      <c r="T27" s="161"/>
    </row>
    <row r="28" spans="1:20" ht="15" customHeight="1">
      <c r="B28" s="135" t="s">
        <v>52</v>
      </c>
      <c r="C28" s="136" t="s">
        <v>8</v>
      </c>
      <c r="D28" s="188">
        <f>+Flujo!D23</f>
        <v>203238467</v>
      </c>
      <c r="E28" s="188">
        <f>+Flujo!E23</f>
        <v>172602343</v>
      </c>
      <c r="F28" s="189">
        <f>+[2]Cálculos!$D$28</f>
        <v>229397451</v>
      </c>
      <c r="H28" s="181" t="s">
        <v>30</v>
      </c>
      <c r="I28" s="181" t="s">
        <v>10</v>
      </c>
      <c r="J28" s="186">
        <f>-D21</f>
        <v>37232930</v>
      </c>
      <c r="K28" s="182"/>
      <c r="L28" s="186">
        <f>-F21</f>
        <v>48849432</v>
      </c>
      <c r="M28" s="182"/>
      <c r="N28" s="182"/>
      <c r="O28" s="183"/>
      <c r="P28" s="182"/>
      <c r="Q28" s="120"/>
      <c r="R28" s="152"/>
      <c r="T28" s="120"/>
    </row>
    <row r="29" spans="1:20" ht="15" customHeight="1">
      <c r="A29" s="190"/>
      <c r="B29" s="135" t="s">
        <v>53</v>
      </c>
      <c r="C29" s="136" t="s">
        <v>8</v>
      </c>
      <c r="D29" s="188">
        <f>+Flujo!D48</f>
        <v>-141473209</v>
      </c>
      <c r="E29" s="188">
        <f>+Flujo!E48</f>
        <v>-100435701</v>
      </c>
      <c r="F29" s="189">
        <f>+[2]Cálculos!$D$29</f>
        <v>-150000484</v>
      </c>
      <c r="H29" s="181" t="s">
        <v>62</v>
      </c>
      <c r="I29" s="181" t="s">
        <v>10</v>
      </c>
      <c r="J29" s="186">
        <f>-D25</f>
        <v>60798649</v>
      </c>
      <c r="K29" s="182"/>
      <c r="L29" s="186">
        <f>-F25</f>
        <v>77689350</v>
      </c>
      <c r="M29" s="182"/>
      <c r="N29" s="181"/>
      <c r="O29" s="183"/>
      <c r="P29" s="181"/>
      <c r="R29" s="152"/>
    </row>
    <row r="30" spans="1:20" ht="15" customHeight="1">
      <c r="A30" s="191"/>
      <c r="B30" s="135" t="s">
        <v>54</v>
      </c>
      <c r="C30" s="136" t="s">
        <v>8</v>
      </c>
      <c r="D30" s="188">
        <f>+Flujo!D65</f>
        <v>-96046926</v>
      </c>
      <c r="E30" s="188">
        <f>+Flujo!E65</f>
        <v>-105381750</v>
      </c>
      <c r="F30" s="189">
        <f>+[2]Cálculos!$D$30</f>
        <v>-149575627</v>
      </c>
      <c r="H30" s="181" t="s">
        <v>63</v>
      </c>
      <c r="I30" s="181" t="s">
        <v>10</v>
      </c>
      <c r="J30" s="186">
        <f>-C67</f>
        <v>-1443</v>
      </c>
      <c r="K30" s="181"/>
      <c r="L30" s="186">
        <f>-E67</f>
        <v>-1895</v>
      </c>
      <c r="M30" s="181"/>
      <c r="N30" s="181"/>
      <c r="O30" s="183"/>
      <c r="P30" s="181"/>
      <c r="Q30" s="192"/>
      <c r="R30" s="152"/>
      <c r="T30" s="192"/>
    </row>
    <row r="31" spans="1:20" ht="15" customHeight="1">
      <c r="A31" s="191"/>
      <c r="B31" s="129" t="s">
        <v>28</v>
      </c>
      <c r="C31" s="136" t="s">
        <v>8</v>
      </c>
      <c r="D31" s="193">
        <f>SUM(D28:D30)</f>
        <v>-34281668</v>
      </c>
      <c r="E31" s="193">
        <f>SUM(E28:E30)</f>
        <v>-33215108</v>
      </c>
      <c r="F31" s="194">
        <f>SUM(F28:F30)</f>
        <v>-70178660</v>
      </c>
      <c r="H31" s="181" t="s">
        <v>33</v>
      </c>
      <c r="I31" s="181" t="s">
        <v>10</v>
      </c>
      <c r="J31" s="186">
        <v>0</v>
      </c>
      <c r="K31" s="182"/>
      <c r="L31" s="186">
        <v>0</v>
      </c>
      <c r="M31" s="182"/>
      <c r="N31" s="181"/>
      <c r="O31" s="183"/>
      <c r="P31" s="181"/>
      <c r="R31" s="152"/>
    </row>
    <row r="32" spans="1:20" ht="15" customHeight="1">
      <c r="A32" s="191"/>
      <c r="B32" s="135" t="s">
        <v>31</v>
      </c>
      <c r="C32" s="136" t="s">
        <v>8</v>
      </c>
      <c r="D32" s="188">
        <f>+Flujo!D70</f>
        <v>109156681</v>
      </c>
      <c r="E32" s="188">
        <f>+Flujo!E70</f>
        <v>179335341</v>
      </c>
      <c r="F32" s="189">
        <f>+[2]Cálculos!$D$32</f>
        <v>179335341</v>
      </c>
      <c r="H32" s="195" t="s">
        <v>24</v>
      </c>
      <c r="I32" s="181"/>
      <c r="J32" s="196">
        <f>SUM(J26:J31)</f>
        <v>213761177</v>
      </c>
      <c r="K32" s="182"/>
      <c r="L32" s="196">
        <f>SUM(L26:L31)</f>
        <v>293836545</v>
      </c>
      <c r="M32" s="197">
        <f>ROUND((J32/L32)-1,4)</f>
        <v>-0.27250000000000002</v>
      </c>
      <c r="N32" s="182"/>
      <c r="O32" s="198"/>
      <c r="P32" s="181"/>
      <c r="R32" s="152"/>
    </row>
    <row r="33" spans="2:20" ht="15" customHeight="1" thickBot="1">
      <c r="B33" s="155" t="s">
        <v>32</v>
      </c>
      <c r="C33" s="199" t="s">
        <v>8</v>
      </c>
      <c r="D33" s="200">
        <f>+D32+D31</f>
        <v>74875013</v>
      </c>
      <c r="E33" s="200">
        <f>+E32+E31</f>
        <v>146120233</v>
      </c>
      <c r="F33" s="201">
        <f>+F32+F31</f>
        <v>109156681</v>
      </c>
      <c r="H33" s="195"/>
      <c r="I33" s="181"/>
      <c r="J33" s="182"/>
      <c r="K33" s="182"/>
      <c r="L33" s="182"/>
      <c r="M33" s="182"/>
      <c r="N33" s="182"/>
      <c r="O33" s="183"/>
      <c r="P33" s="181"/>
      <c r="Q33" s="202"/>
      <c r="R33" s="152"/>
      <c r="T33" s="202"/>
    </row>
    <row r="34" spans="2:20" ht="15" customHeight="1" thickBot="1">
      <c r="D34" s="417">
        <f>+D33-Balance!D6</f>
        <v>0</v>
      </c>
      <c r="E34" s="1"/>
      <c r="F34" s="417">
        <f>+F33-Balance!E6</f>
        <v>0</v>
      </c>
      <c r="H34" s="195"/>
      <c r="I34" s="181"/>
      <c r="J34" s="182"/>
      <c r="K34" s="203"/>
      <c r="L34" s="182"/>
      <c r="M34" s="203"/>
      <c r="N34" s="182"/>
      <c r="O34" s="198"/>
      <c r="P34" s="204"/>
      <c r="Q34" s="120"/>
      <c r="R34" s="152"/>
      <c r="T34" s="120"/>
    </row>
    <row r="35" spans="2:20" ht="15" customHeight="1">
      <c r="B35" s="205" t="s">
        <v>98</v>
      </c>
      <c r="C35" s="305" t="s">
        <v>375</v>
      </c>
      <c r="D35" s="206">
        <f>+Balance!D63</f>
        <v>1170649938</v>
      </c>
      <c r="E35" s="152"/>
      <c r="F35" s="152"/>
      <c r="H35" s="195" t="s">
        <v>58</v>
      </c>
      <c r="I35" s="181"/>
      <c r="J35" s="182">
        <f>+D18</f>
        <v>483042204</v>
      </c>
      <c r="K35" s="182"/>
      <c r="L35" s="182">
        <f>+E18</f>
        <v>475235519</v>
      </c>
      <c r="M35" s="182"/>
      <c r="N35" s="182"/>
      <c r="O35" s="181"/>
      <c r="P35" s="204">
        <f>ROUND((J35/L35)-1,4)</f>
        <v>1.6400000000000001E-2</v>
      </c>
      <c r="R35" s="152"/>
    </row>
    <row r="36" spans="2:20" ht="15" customHeight="1" thickBot="1">
      <c r="B36" s="207" t="s">
        <v>286</v>
      </c>
      <c r="C36" s="416" t="str">
        <f>+C35</f>
        <v>30-06-2024</v>
      </c>
      <c r="D36" s="209">
        <f>+Balance!D28</f>
        <v>2745539486</v>
      </c>
      <c r="E36" s="152"/>
      <c r="F36" s="152"/>
      <c r="H36" s="115"/>
      <c r="J36" s="210"/>
      <c r="K36" s="120"/>
      <c r="L36" s="210"/>
      <c r="M36" s="120"/>
      <c r="N36" s="120"/>
      <c r="P36" s="120"/>
      <c r="R36" s="152"/>
    </row>
    <row r="37" spans="2:20" ht="15" customHeight="1" thickBot="1">
      <c r="B37" s="207"/>
      <c r="C37" s="208"/>
      <c r="D37" s="209"/>
      <c r="E37" s="152"/>
      <c r="F37" s="152"/>
      <c r="H37" s="133" t="s">
        <v>34</v>
      </c>
      <c r="J37" s="120"/>
      <c r="K37" s="120"/>
      <c r="L37" s="120"/>
      <c r="M37" s="120"/>
      <c r="P37" s="120"/>
      <c r="Q37" s="161"/>
      <c r="R37" s="161" t="s">
        <v>4</v>
      </c>
      <c r="T37" s="161"/>
    </row>
    <row r="38" spans="2:20" ht="15" customHeight="1">
      <c r="B38" s="207"/>
      <c r="C38" s="208"/>
      <c r="D38" s="211"/>
      <c r="E38" s="152"/>
      <c r="F38" s="152"/>
      <c r="H38" s="115" t="s">
        <v>35</v>
      </c>
      <c r="J38" s="120"/>
      <c r="K38" s="120"/>
      <c r="L38" s="120"/>
      <c r="M38" s="120"/>
      <c r="O38" s="212"/>
      <c r="P38" s="116"/>
      <c r="R38" s="152"/>
    </row>
    <row r="39" spans="2:20" ht="15" customHeight="1" thickBot="1">
      <c r="B39" s="213"/>
      <c r="C39" s="214"/>
      <c r="D39" s="215"/>
      <c r="H39" s="141" t="s">
        <v>36</v>
      </c>
      <c r="I39" s="116" t="s">
        <v>10</v>
      </c>
      <c r="J39" s="142">
        <f>Anualizados!C6</f>
        <v>128310161</v>
      </c>
      <c r="K39" s="160">
        <f>ROUND(J39/J40,4)*100</f>
        <v>10.96</v>
      </c>
      <c r="L39" s="142">
        <f>+E69</f>
        <v>133390421</v>
      </c>
      <c r="M39" s="160">
        <f>ROUND(L39/L40,4)*100</f>
        <v>15.47</v>
      </c>
      <c r="N39" s="161"/>
      <c r="O39" s="145">
        <f>ROUND((K39/M39)-1,4)</f>
        <v>-0.29149999999999998</v>
      </c>
      <c r="P39" s="146">
        <f>ROUND((J39/L39)-1,3)</f>
        <v>-3.7999999999999999E-2</v>
      </c>
      <c r="Q39" s="120">
        <f>+J39-L39</f>
        <v>-5080260</v>
      </c>
      <c r="R39" s="216"/>
    </row>
    <row r="40" spans="2:20" ht="15" customHeight="1" thickBot="1">
      <c r="H40" s="116" t="s">
        <v>90</v>
      </c>
      <c r="I40" s="116" t="s">
        <v>4</v>
      </c>
      <c r="J40" s="120">
        <f>ROUND((D13+D35)/2,0)</f>
        <v>1170649938</v>
      </c>
      <c r="K40" s="120"/>
      <c r="L40" s="120">
        <f>ROUND((E13+F13)/2,0)</f>
        <v>862484678</v>
      </c>
      <c r="M40" s="120"/>
      <c r="O40" s="216"/>
      <c r="P40" s="146">
        <f>ROUND((J40/L40)-1,3)</f>
        <v>0.35699999999999998</v>
      </c>
      <c r="Q40" s="120">
        <f>+J40-L40</f>
        <v>308165260</v>
      </c>
      <c r="R40" s="152"/>
    </row>
    <row r="41" spans="2:20" ht="15" customHeight="1">
      <c r="B41" s="364" t="s">
        <v>276</v>
      </c>
      <c r="C41" s="366" t="s">
        <v>391</v>
      </c>
      <c r="D41" s="365" t="s">
        <v>352</v>
      </c>
      <c r="H41" s="115" t="s">
        <v>37</v>
      </c>
      <c r="J41" s="120"/>
      <c r="K41" s="120"/>
      <c r="L41" s="120"/>
      <c r="M41" s="120"/>
      <c r="O41" s="212"/>
      <c r="P41" s="217"/>
      <c r="Q41" s="216"/>
      <c r="R41" s="152"/>
    </row>
    <row r="42" spans="2:20" ht="15" customHeight="1">
      <c r="B42" s="360"/>
      <c r="C42" s="367"/>
      <c r="D42" s="361"/>
      <c r="H42" s="141" t="s">
        <v>36</v>
      </c>
      <c r="I42" s="116" t="s">
        <v>10</v>
      </c>
      <c r="J42" s="142">
        <f>+J39</f>
        <v>128310161</v>
      </c>
      <c r="K42" s="160">
        <f>ROUND(J42/J43,4)*100</f>
        <v>4.67</v>
      </c>
      <c r="L42" s="142">
        <f>+L39</f>
        <v>133390421</v>
      </c>
      <c r="M42" s="160">
        <f>ROUND(L42/L43,4)*100</f>
        <v>5.55</v>
      </c>
      <c r="N42" s="161"/>
      <c r="O42" s="145">
        <f>ROUND((K42/M42)-1,4)</f>
        <v>-0.15859999999999999</v>
      </c>
      <c r="P42" s="146">
        <f>ROUND((J42/L42)-1,3)</f>
        <v>-3.7999999999999999E-2</v>
      </c>
      <c r="Q42" s="120">
        <f>+J42-L42</f>
        <v>-5080260</v>
      </c>
    </row>
    <row r="43" spans="2:20" ht="15" customHeight="1">
      <c r="B43" s="360" t="s">
        <v>378</v>
      </c>
      <c r="C43" s="367">
        <v>14.46954</v>
      </c>
      <c r="D43" s="361"/>
      <c r="H43" s="116" t="s">
        <v>38</v>
      </c>
      <c r="I43" s="116" t="s">
        <v>4</v>
      </c>
      <c r="J43" s="218">
        <f>ROUND((+D8+D36)/2,0)</f>
        <v>2745539486</v>
      </c>
      <c r="K43" s="120"/>
      <c r="L43" s="218">
        <f>ROUND((E8+F8)/2,0)</f>
        <v>2401348645</v>
      </c>
      <c r="M43" s="120"/>
      <c r="N43" s="174"/>
      <c r="O43" s="216"/>
      <c r="P43" s="146">
        <f>ROUND((J43/L43)-1,3)</f>
        <v>0.14299999999999999</v>
      </c>
      <c r="Q43" s="120">
        <f>+J43-L43</f>
        <v>344190841</v>
      </c>
    </row>
    <row r="44" spans="2:20" ht="15" customHeight="1">
      <c r="B44" s="360" t="s">
        <v>363</v>
      </c>
      <c r="C44" s="367">
        <v>6.5370499999999998</v>
      </c>
      <c r="D44" s="361">
        <f>+C44</f>
        <v>6.5370499999999998</v>
      </c>
      <c r="H44" s="115" t="s">
        <v>39</v>
      </c>
      <c r="J44" s="120"/>
      <c r="K44" s="120"/>
      <c r="L44" s="120"/>
      <c r="M44" s="120"/>
      <c r="P44" s="219"/>
    </row>
    <row r="45" spans="2:20" ht="15" customHeight="1">
      <c r="B45" s="360" t="s">
        <v>369</v>
      </c>
      <c r="C45" s="367"/>
      <c r="D45" s="361">
        <v>8.2119599999999995</v>
      </c>
      <c r="H45" s="141" t="s">
        <v>40</v>
      </c>
      <c r="I45" s="116" t="s">
        <v>10</v>
      </c>
      <c r="J45" s="142">
        <f>+J42*1000</f>
        <v>128310161000</v>
      </c>
      <c r="K45" s="143">
        <f>ROUND(J45/J46,2)</f>
        <v>20.97</v>
      </c>
      <c r="L45" s="142">
        <f>+L39*1000</f>
        <v>133390421000</v>
      </c>
      <c r="M45" s="143">
        <f>ROUND(L45/L46,2)</f>
        <v>21.8</v>
      </c>
      <c r="N45" s="192"/>
      <c r="O45" s="145">
        <f>ROUND((K45/M45)-1,4)</f>
        <v>-3.8100000000000002E-2</v>
      </c>
      <c r="P45" s="146">
        <f>ROUND((J45/L45)-1,3)</f>
        <v>-3.7999999999999999E-2</v>
      </c>
    </row>
    <row r="46" spans="2:20" ht="15" customHeight="1" thickBot="1">
      <c r="B46" s="362"/>
      <c r="C46" s="368">
        <f>SUM(C42:C45)</f>
        <v>21.006589999999999</v>
      </c>
      <c r="D46" s="363">
        <f>SUM(D42:D45)</f>
        <v>14.749009999999998</v>
      </c>
      <c r="E46" s="220"/>
      <c r="H46" s="116" t="s">
        <v>41</v>
      </c>
      <c r="J46" s="221">
        <v>6118965160</v>
      </c>
      <c r="K46" s="120"/>
      <c r="L46" s="221">
        <v>6118965160</v>
      </c>
      <c r="M46" s="120"/>
      <c r="P46" s="146">
        <f>ROUND((J46/L46)-1,3)</f>
        <v>0</v>
      </c>
    </row>
    <row r="47" spans="2:20" ht="15" customHeight="1">
      <c r="E47" s="220"/>
      <c r="M47" s="120"/>
      <c r="P47" s="146"/>
    </row>
    <row r="48" spans="2:20" ht="15" customHeight="1" thickBot="1">
      <c r="C48" s="222"/>
      <c r="D48" s="222"/>
      <c r="E48" s="222"/>
      <c r="H48" s="115" t="s">
        <v>42</v>
      </c>
      <c r="J48" s="120"/>
      <c r="K48" s="120"/>
      <c r="L48" s="223"/>
      <c r="M48" s="120"/>
      <c r="O48" s="212"/>
    </row>
    <row r="49" spans="2:16" ht="15" customHeight="1">
      <c r="B49" s="370" t="s">
        <v>180</v>
      </c>
      <c r="C49" s="371" t="str">
        <f>+$D$4</f>
        <v>Sep-24</v>
      </c>
      <c r="D49" s="371" t="str">
        <f>+E16</f>
        <v>Sep-23</v>
      </c>
      <c r="E49" s="372" t="str">
        <f>+$F$16</f>
        <v>Dic-23</v>
      </c>
      <c r="H49" s="141" t="s">
        <v>43</v>
      </c>
      <c r="I49" s="116" t="s">
        <v>10</v>
      </c>
      <c r="J49" s="224">
        <f>+C46</f>
        <v>21.006589999999999</v>
      </c>
      <c r="K49" s="160">
        <f>ROUND(J49/J50,4)*100</f>
        <v>7.5600000000000005</v>
      </c>
      <c r="L49" s="225">
        <f>+D46</f>
        <v>14.749009999999998</v>
      </c>
      <c r="M49" s="160">
        <f>ROUND(L49/L50,4)*100</f>
        <v>5.18</v>
      </c>
      <c r="N49" s="202"/>
      <c r="O49" s="145">
        <f>ROUND((K49/M49)-1,4)</f>
        <v>0.45950000000000002</v>
      </c>
      <c r="P49" s="146">
        <f>ROUND((J49/L49)-1,3)</f>
        <v>0.42399999999999999</v>
      </c>
    </row>
    <row r="50" spans="2:16" ht="15" customHeight="1">
      <c r="B50" s="373" t="s">
        <v>99</v>
      </c>
      <c r="C50" s="166">
        <f>+Resultado!D5</f>
        <v>483042204</v>
      </c>
      <c r="D50" s="166">
        <f>+Resultado!E5</f>
        <v>475235519</v>
      </c>
      <c r="E50" s="374">
        <f>+[2]Cálculos!C50</f>
        <v>640855854</v>
      </c>
      <c r="F50" s="226"/>
      <c r="H50" s="116" t="s">
        <v>44</v>
      </c>
      <c r="J50" s="227">
        <v>278</v>
      </c>
      <c r="K50" s="174" t="s">
        <v>4</v>
      </c>
      <c r="L50" s="227">
        <v>284.60000000000002</v>
      </c>
      <c r="M50" s="174" t="s">
        <v>4</v>
      </c>
      <c r="N50" s="228"/>
      <c r="O50" s="216"/>
      <c r="P50" s="146">
        <f>ROUND((J50/L50)-1,3)</f>
        <v>-2.3E-2</v>
      </c>
    </row>
    <row r="51" spans="2:16" ht="15" customHeight="1">
      <c r="B51" s="373" t="s">
        <v>100</v>
      </c>
      <c r="C51" s="166">
        <f>+Resultado!D6</f>
        <v>-61764843</v>
      </c>
      <c r="D51" s="166">
        <f>+Resultado!E6</f>
        <v>-68295994</v>
      </c>
      <c r="E51" s="374">
        <f>+[2]Cálculos!C51</f>
        <v>-85361668</v>
      </c>
      <c r="F51" s="226"/>
      <c r="P51" s="219"/>
    </row>
    <row r="52" spans="2:16" ht="15" customHeight="1">
      <c r="B52" s="373" t="s">
        <v>91</v>
      </c>
      <c r="C52" s="166">
        <f>+Resultado!D7</f>
        <v>-60663659</v>
      </c>
      <c r="D52" s="166">
        <f>+Resultado!E7</f>
        <v>-55636489</v>
      </c>
      <c r="E52" s="374">
        <f>+[2]Cálculos!C52</f>
        <v>-76458923</v>
      </c>
      <c r="F52" s="226"/>
      <c r="J52" s="222"/>
      <c r="M52" s="229"/>
    </row>
    <row r="53" spans="2:16" ht="15" customHeight="1">
      <c r="B53" s="373" t="s">
        <v>92</v>
      </c>
      <c r="C53" s="166">
        <f>+Resultado!D8</f>
        <v>-60798649</v>
      </c>
      <c r="D53" s="166">
        <f>+Resultado!E8</f>
        <v>-56569056</v>
      </c>
      <c r="E53" s="374">
        <f>+[2]Cálculos!C53</f>
        <v>-77689350</v>
      </c>
      <c r="F53" s="226"/>
      <c r="J53" s="222"/>
    </row>
    <row r="54" spans="2:16" ht="15" customHeight="1">
      <c r="B54" s="373" t="s">
        <v>101</v>
      </c>
      <c r="C54" s="166">
        <f>+Resultado!D9</f>
        <v>-6550791</v>
      </c>
      <c r="D54" s="166">
        <f>+Resultado!E9</f>
        <v>-10816911</v>
      </c>
      <c r="E54" s="374">
        <f>+[2]Cálculos!C54</f>
        <v>-12316346</v>
      </c>
      <c r="F54" s="226"/>
      <c r="P54" s="230"/>
    </row>
    <row r="55" spans="2:16" ht="15" customHeight="1">
      <c r="B55" s="373" t="s">
        <v>102</v>
      </c>
      <c r="C55" s="166">
        <f>+Resultado!D10</f>
        <v>-119028718</v>
      </c>
      <c r="D55" s="166">
        <f>+Resultado!E10</f>
        <v>-109290684</v>
      </c>
      <c r="E55" s="374">
        <f>+[2]Cálculos!C55</f>
        <v>-148430974</v>
      </c>
      <c r="F55" s="226"/>
    </row>
    <row r="56" spans="2:16" ht="15" customHeight="1">
      <c r="B56" s="375" t="s">
        <v>76</v>
      </c>
      <c r="C56" s="170">
        <f>SUM(C50:C55)</f>
        <v>174235544</v>
      </c>
      <c r="D56" s="170">
        <f>SUM(D50:D55)</f>
        <v>174626385</v>
      </c>
      <c r="E56" s="378">
        <f>SUM(E50:E55)</f>
        <v>240598593</v>
      </c>
      <c r="F56" s="226"/>
      <c r="H56" s="231"/>
      <c r="I56" s="232"/>
      <c r="J56" s="233"/>
      <c r="K56" s="233"/>
      <c r="L56" s="233"/>
      <c r="M56" s="233"/>
      <c r="O56" s="234"/>
      <c r="P56" s="235"/>
    </row>
    <row r="57" spans="2:16" ht="15" customHeight="1">
      <c r="B57" s="373" t="s">
        <v>77</v>
      </c>
      <c r="C57" s="166">
        <f>+Resultado!D13</f>
        <v>7604978</v>
      </c>
      <c r="D57" s="166">
        <f>+Resultado!E13</f>
        <v>12898623</v>
      </c>
      <c r="E57" s="374">
        <f>+[2]Cálculos!C57</f>
        <v>15927907</v>
      </c>
      <c r="F57" s="226"/>
      <c r="H57" s="231"/>
      <c r="I57" s="232"/>
      <c r="J57" s="233"/>
      <c r="K57" s="233"/>
      <c r="L57" s="233"/>
      <c r="M57" s="233"/>
      <c r="O57" s="236"/>
    </row>
    <row r="58" spans="2:16" ht="15" customHeight="1">
      <c r="B58" s="373" t="s">
        <v>78</v>
      </c>
      <c r="C58" s="166">
        <f>+Resultado!D14</f>
        <v>-37232930</v>
      </c>
      <c r="D58" s="166">
        <f>+Resultado!E14</f>
        <v>-36680405</v>
      </c>
      <c r="E58" s="374">
        <f>+[2]Cálculos!C58</f>
        <v>-48849432</v>
      </c>
      <c r="F58" s="226"/>
      <c r="H58" s="232"/>
      <c r="I58" s="232"/>
      <c r="J58" s="233"/>
      <c r="K58" s="237"/>
      <c r="L58" s="233"/>
      <c r="M58" s="237"/>
      <c r="N58" s="202"/>
      <c r="O58" s="238"/>
      <c r="P58" s="239"/>
    </row>
    <row r="59" spans="2:16" ht="15" customHeight="1">
      <c r="B59" s="373" t="s">
        <v>79</v>
      </c>
      <c r="C59" s="166">
        <f>+Resultado!D15</f>
        <v>269429</v>
      </c>
      <c r="D59" s="166">
        <f>+Resultado!E15</f>
        <v>2515087</v>
      </c>
      <c r="E59" s="374">
        <f>+[2]Cálculos!C59</f>
        <v>2645936</v>
      </c>
      <c r="F59" s="226"/>
      <c r="H59" s="232"/>
      <c r="I59" s="232"/>
      <c r="J59" s="233"/>
      <c r="K59" s="240"/>
      <c r="L59" s="233"/>
      <c r="M59" s="240"/>
      <c r="O59" s="236"/>
      <c r="P59" s="239"/>
    </row>
    <row r="60" spans="2:16" ht="15" customHeight="1">
      <c r="B60" s="373" t="s">
        <v>80</v>
      </c>
      <c r="C60" s="166">
        <f>+Resultado!D16</f>
        <v>-31381630</v>
      </c>
      <c r="D60" s="166">
        <f>+Resultado!E16</f>
        <v>-29886454</v>
      </c>
      <c r="E60" s="374">
        <f>+[2]Cálculos!C60</f>
        <v>-46357996</v>
      </c>
      <c r="F60" s="226"/>
      <c r="H60" s="231"/>
      <c r="I60" s="232"/>
      <c r="J60" s="233"/>
      <c r="K60" s="233"/>
      <c r="L60" s="233"/>
      <c r="M60" s="233"/>
      <c r="O60" s="236"/>
    </row>
    <row r="61" spans="2:16" ht="15" customHeight="1">
      <c r="B61" s="375" t="s">
        <v>81</v>
      </c>
      <c r="C61" s="170">
        <f>SUM(C57:C60)</f>
        <v>-60740153</v>
      </c>
      <c r="D61" s="170">
        <f>SUM(D57:D60)</f>
        <v>-51153149</v>
      </c>
      <c r="E61" s="378">
        <f>SUM(E57:E60)</f>
        <v>-76633585</v>
      </c>
      <c r="F61" s="226"/>
      <c r="H61" s="232"/>
      <c r="I61" s="241"/>
      <c r="J61" s="233"/>
      <c r="K61" s="237"/>
      <c r="L61" s="233"/>
      <c r="M61" s="237"/>
      <c r="N61" s="242"/>
      <c r="O61" s="238"/>
      <c r="P61" s="239"/>
    </row>
    <row r="62" spans="2:16" ht="15" customHeight="1">
      <c r="B62" s="373" t="s">
        <v>87</v>
      </c>
      <c r="C62" s="166">
        <f>+Resultado!D11</f>
        <v>2237093</v>
      </c>
      <c r="D62" s="166">
        <f>+Resultado!E11</f>
        <v>-1774124</v>
      </c>
      <c r="E62" s="374">
        <f>+[2]Cálculos!C62</f>
        <v>3336545</v>
      </c>
      <c r="F62" s="226"/>
      <c r="H62" s="232"/>
      <c r="I62" s="232"/>
      <c r="J62" s="233"/>
      <c r="K62" s="240"/>
      <c r="L62" s="233"/>
      <c r="M62" s="240"/>
      <c r="N62" s="120"/>
      <c r="O62" s="236"/>
      <c r="P62" s="239"/>
    </row>
    <row r="63" spans="2:16" ht="15" customHeight="1">
      <c r="B63" s="373" t="s">
        <v>82</v>
      </c>
      <c r="C63" s="166"/>
      <c r="D63" s="166"/>
      <c r="E63" s="374"/>
      <c r="F63" s="226"/>
      <c r="H63" s="115"/>
      <c r="J63" s="120"/>
      <c r="K63" s="120"/>
      <c r="L63" s="120"/>
      <c r="M63" s="120"/>
      <c r="O63" s="236"/>
    </row>
    <row r="64" spans="2:16" ht="15" customHeight="1">
      <c r="B64" s="375" t="s">
        <v>83</v>
      </c>
      <c r="C64" s="170">
        <f>+C56+C61+C62+C63</f>
        <v>115732484</v>
      </c>
      <c r="D64" s="170">
        <f>+D56+D61+D62+D63</f>
        <v>121699112</v>
      </c>
      <c r="E64" s="378">
        <f>+E56+E61+E62+E63</f>
        <v>167301553</v>
      </c>
      <c r="F64" s="226"/>
      <c r="L64" s="243"/>
    </row>
    <row r="65" spans="2:13" ht="15" customHeight="1">
      <c r="B65" s="373" t="s">
        <v>84</v>
      </c>
      <c r="C65" s="166">
        <f>+Resultado!D19</f>
        <v>-24328925</v>
      </c>
      <c r="D65" s="166">
        <f>+Resultado!E19</f>
        <v>-25215487</v>
      </c>
      <c r="E65" s="374">
        <f>+[2]Cálculos!C65</f>
        <v>-33909237</v>
      </c>
      <c r="F65" s="226"/>
      <c r="K65" s="244"/>
      <c r="M65" s="244"/>
    </row>
    <row r="66" spans="2:13" ht="15" customHeight="1">
      <c r="B66" s="373" t="s">
        <v>305</v>
      </c>
      <c r="C66" s="166">
        <f>+Resultado!D21</f>
        <v>0</v>
      </c>
      <c r="D66" s="166">
        <f>+Resultado!E21</f>
        <v>0</v>
      </c>
      <c r="E66" s="374">
        <f>+[2]Cálculos!C66</f>
        <v>0</v>
      </c>
      <c r="F66" s="226"/>
      <c r="K66" s="244"/>
      <c r="M66" s="244"/>
    </row>
    <row r="67" spans="2:13" ht="15" customHeight="1">
      <c r="B67" s="373" t="s">
        <v>85</v>
      </c>
      <c r="C67" s="166">
        <f>+Resultado!D26</f>
        <v>1443</v>
      </c>
      <c r="D67" s="166">
        <f>+Resultado!E26</f>
        <v>1249</v>
      </c>
      <c r="E67" s="374">
        <f>+[2]Cálculos!C67</f>
        <v>1895</v>
      </c>
      <c r="F67" s="226"/>
    </row>
    <row r="68" spans="2:13" ht="15" customHeight="1">
      <c r="B68" s="376" t="s">
        <v>88</v>
      </c>
      <c r="C68" s="381">
        <f>+C64+C65+C66</f>
        <v>91403559</v>
      </c>
      <c r="D68" s="381">
        <f>+D64+D65+D66</f>
        <v>96483625</v>
      </c>
      <c r="E68" s="382">
        <f>+E64+E65+E66</f>
        <v>133392316</v>
      </c>
      <c r="F68" s="226"/>
    </row>
    <row r="69" spans="2:13" ht="15" customHeight="1" thickBot="1">
      <c r="B69" s="377" t="s">
        <v>86</v>
      </c>
      <c r="C69" s="379">
        <f>+C68-C67</f>
        <v>91402116</v>
      </c>
      <c r="D69" s="379">
        <f t="shared" ref="D69:E69" si="1">+D68-D67</f>
        <v>96482376</v>
      </c>
      <c r="E69" s="380">
        <f t="shared" si="1"/>
        <v>133390421</v>
      </c>
      <c r="F69" s="226"/>
    </row>
    <row r="70" spans="2:13" ht="15" customHeight="1">
      <c r="D70" s="226"/>
    </row>
    <row r="71" spans="2:13" ht="15" customHeight="1">
      <c r="D71" s="226"/>
    </row>
    <row r="72" spans="2:13" ht="15" customHeight="1">
      <c r="D72" s="226"/>
    </row>
    <row r="73" spans="2:13" ht="15" customHeight="1">
      <c r="C73" s="245"/>
    </row>
    <row r="76" spans="2:13" ht="15" customHeight="1">
      <c r="C76" s="226"/>
    </row>
    <row r="100" spans="10:14" ht="15" customHeight="1">
      <c r="J100" s="246"/>
      <c r="K100" s="246"/>
      <c r="M100" s="246"/>
      <c r="N100" s="246"/>
    </row>
    <row r="101" spans="10:14" ht="15" customHeight="1">
      <c r="J101" s="246"/>
      <c r="K101" s="246"/>
      <c r="M101" s="246"/>
      <c r="N101" s="246"/>
    </row>
    <row r="102" spans="10:14" ht="15" customHeight="1">
      <c r="J102" s="246"/>
      <c r="K102" s="246"/>
      <c r="M102" s="246"/>
      <c r="N102" s="246"/>
    </row>
    <row r="103" spans="10:14" ht="15" customHeight="1">
      <c r="J103" s="246"/>
      <c r="K103" s="246"/>
      <c r="M103" s="246"/>
      <c r="N103" s="246"/>
    </row>
    <row r="104" spans="10:14" ht="15" customHeight="1">
      <c r="J104" s="246"/>
      <c r="K104" s="246"/>
      <c r="M104" s="246"/>
      <c r="N104" s="246"/>
    </row>
    <row r="105" spans="10:14" ht="15" customHeight="1">
      <c r="J105" s="246"/>
      <c r="K105" s="246"/>
      <c r="M105" s="246"/>
      <c r="N105" s="246"/>
    </row>
    <row r="106" spans="10:14" ht="15" customHeight="1">
      <c r="J106" s="246"/>
      <c r="K106" s="246"/>
      <c r="L106" s="246"/>
      <c r="M106" s="246"/>
      <c r="N106" s="246"/>
    </row>
    <row r="107" spans="10:14" ht="15" customHeight="1">
      <c r="J107" s="246"/>
      <c r="K107" s="246"/>
      <c r="L107" s="246"/>
      <c r="M107" s="246"/>
      <c r="N107" s="246"/>
    </row>
    <row r="108" spans="10:14" ht="15" customHeight="1">
      <c r="J108" s="246"/>
      <c r="K108" s="246"/>
      <c r="L108" s="246"/>
      <c r="M108" s="246"/>
    </row>
    <row r="109" spans="10:14" ht="15" customHeight="1">
      <c r="J109" s="246"/>
      <c r="K109" s="246"/>
      <c r="L109" s="246"/>
      <c r="M109" s="246"/>
    </row>
    <row r="110" spans="10:14" ht="15" customHeight="1">
      <c r="J110" s="246"/>
      <c r="K110" s="246"/>
      <c r="L110" s="246"/>
      <c r="M110" s="246"/>
    </row>
    <row r="111" spans="10:14" ht="15" customHeight="1">
      <c r="J111" s="246"/>
      <c r="K111" s="246"/>
      <c r="L111" s="246"/>
      <c r="M111" s="246"/>
    </row>
    <row r="112" spans="10:14" ht="15" customHeight="1">
      <c r="J112" s="246"/>
      <c r="K112" s="246"/>
      <c r="L112" s="246"/>
      <c r="M112" s="246"/>
    </row>
    <row r="113" spans="10:13" ht="15" customHeight="1">
      <c r="J113" s="246"/>
      <c r="K113" s="246"/>
      <c r="L113" s="246"/>
      <c r="M113" s="246"/>
    </row>
    <row r="114" spans="10:13" ht="15" customHeight="1">
      <c r="J114" s="246"/>
      <c r="K114" s="246"/>
      <c r="L114" s="246"/>
      <c r="M114" s="246"/>
    </row>
    <row r="115" spans="10:13" ht="15" customHeight="1">
      <c r="J115" s="246"/>
      <c r="K115" s="246"/>
      <c r="L115" s="246"/>
      <c r="M115" s="246"/>
    </row>
    <row r="116" spans="10:13" ht="15" customHeight="1">
      <c r="J116" s="246"/>
      <c r="K116" s="246"/>
      <c r="L116" s="246"/>
      <c r="M116" s="246"/>
    </row>
    <row r="117" spans="10:13" ht="15" customHeight="1">
      <c r="J117" s="246"/>
      <c r="K117" s="246"/>
      <c r="L117" s="246"/>
      <c r="M117" s="246"/>
    </row>
    <row r="118" spans="10:13" ht="15" customHeight="1">
      <c r="J118" s="246"/>
      <c r="K118" s="246"/>
      <c r="L118" s="246"/>
      <c r="M118" s="246"/>
    </row>
    <row r="119" spans="10:13" ht="15" customHeight="1">
      <c r="J119" s="246"/>
      <c r="K119" s="246"/>
      <c r="L119" s="246"/>
      <c r="M119" s="246"/>
    </row>
    <row r="120" spans="10:13" ht="15" customHeight="1">
      <c r="J120" s="246"/>
      <c r="K120" s="246"/>
      <c r="L120" s="246"/>
      <c r="M120" s="246"/>
    </row>
    <row r="121" spans="10:13" ht="15" customHeight="1">
      <c r="J121" s="246"/>
      <c r="K121" s="246"/>
      <c r="L121" s="246"/>
      <c r="M121" s="246"/>
    </row>
    <row r="122" spans="10:13" ht="15" customHeight="1">
      <c r="J122" s="246"/>
      <c r="K122" s="246"/>
      <c r="M122" s="246"/>
    </row>
    <row r="123" spans="10:13" ht="15" customHeight="1">
      <c r="J123" s="246"/>
      <c r="K123" s="246"/>
      <c r="L123" s="246"/>
      <c r="M123" s="246"/>
    </row>
    <row r="124" spans="10:13" ht="15" customHeight="1">
      <c r="J124" s="246"/>
      <c r="K124" s="246"/>
      <c r="L124" s="246"/>
      <c r="M124" s="246"/>
    </row>
    <row r="125" spans="10:13" ht="15" customHeight="1">
      <c r="J125" s="246"/>
      <c r="K125" s="246"/>
      <c r="L125" s="246"/>
      <c r="M125" s="246"/>
    </row>
    <row r="126" spans="10:13" ht="15" customHeight="1">
      <c r="J126" s="246"/>
      <c r="K126" s="246"/>
      <c r="L126" s="246"/>
      <c r="M126" s="246"/>
    </row>
    <row r="127" spans="10:13" ht="15" customHeight="1">
      <c r="J127" s="246"/>
      <c r="K127" s="246"/>
      <c r="L127" s="246"/>
      <c r="M127" s="246"/>
    </row>
    <row r="128" spans="10:13" ht="15" customHeight="1">
      <c r="J128" s="246"/>
      <c r="K128" s="246"/>
      <c r="L128" s="246"/>
      <c r="M128" s="246"/>
    </row>
    <row r="129" spans="10:13" ht="15" customHeight="1">
      <c r="J129" s="246"/>
      <c r="K129" s="246"/>
      <c r="L129" s="246"/>
      <c r="M129" s="246"/>
    </row>
    <row r="130" spans="10:13" ht="15" customHeight="1">
      <c r="J130" s="246"/>
      <c r="K130" s="246"/>
      <c r="M130" s="246"/>
    </row>
    <row r="131" spans="10:13" ht="15" customHeight="1">
      <c r="J131" s="246"/>
      <c r="K131" s="246"/>
      <c r="M131" s="246"/>
    </row>
    <row r="132" spans="10:13" ht="15" customHeight="1">
      <c r="J132" s="246"/>
      <c r="K132" s="246"/>
      <c r="M132" s="246"/>
    </row>
    <row r="133" spans="10:13" ht="15" customHeight="1">
      <c r="J133" s="246"/>
      <c r="K133" s="246"/>
      <c r="M133" s="246"/>
    </row>
    <row r="134" spans="10:13" ht="15" customHeight="1">
      <c r="J134" s="246"/>
      <c r="K134" s="246"/>
      <c r="M134" s="246"/>
    </row>
    <row r="135" spans="10:13" ht="15" customHeight="1">
      <c r="J135" s="246"/>
      <c r="K135" s="246"/>
      <c r="M135" s="246"/>
    </row>
    <row r="136" spans="10:13" ht="15" customHeight="1">
      <c r="J136" s="246"/>
      <c r="K136" s="246"/>
      <c r="M136" s="246"/>
    </row>
    <row r="137" spans="10:13" ht="15" customHeight="1">
      <c r="J137" s="246"/>
      <c r="K137" s="246"/>
      <c r="M137" s="246"/>
    </row>
    <row r="138" spans="10:13" ht="15" customHeight="1">
      <c r="J138" s="246"/>
      <c r="K138" s="246"/>
      <c r="M138" s="246"/>
    </row>
    <row r="139" spans="10:13" ht="15" customHeight="1">
      <c r="J139" s="246"/>
      <c r="K139" s="246"/>
      <c r="M139" s="246"/>
    </row>
    <row r="140" spans="10:13" ht="15" customHeight="1">
      <c r="J140" s="246"/>
      <c r="K140" s="246"/>
      <c r="M140" s="246"/>
    </row>
    <row r="141" spans="10:13" ht="15" customHeight="1">
      <c r="J141" s="246"/>
      <c r="K141" s="246"/>
      <c r="M141" s="246"/>
    </row>
    <row r="142" spans="10:13" ht="15" customHeight="1">
      <c r="J142" s="246"/>
      <c r="K142" s="246"/>
      <c r="M142" s="246"/>
    </row>
    <row r="143" spans="10:13" ht="15" customHeight="1">
      <c r="J143" s="246"/>
      <c r="K143" s="246"/>
      <c r="M143" s="246"/>
    </row>
    <row r="144" spans="10:13" ht="15" customHeight="1">
      <c r="J144" s="246"/>
      <c r="K144" s="246"/>
      <c r="M144" s="246"/>
    </row>
    <row r="145" spans="10:13" ht="15" customHeight="1">
      <c r="J145" s="246"/>
      <c r="K145" s="246"/>
      <c r="M145" s="246"/>
    </row>
    <row r="146" spans="10:13" ht="15" customHeight="1">
      <c r="J146" s="246"/>
      <c r="K146" s="246"/>
      <c r="M146" s="246"/>
    </row>
    <row r="147" spans="10:13" ht="15" customHeight="1">
      <c r="J147" s="246"/>
      <c r="K147" s="246"/>
      <c r="M147" s="246"/>
    </row>
    <row r="148" spans="10:13" ht="15" customHeight="1">
      <c r="J148" s="216"/>
      <c r="K148" s="246"/>
      <c r="M148" s="246"/>
    </row>
    <row r="149" spans="10:13" ht="15" customHeight="1">
      <c r="J149" s="246"/>
      <c r="K149" s="246"/>
      <c r="M149" s="246"/>
    </row>
    <row r="150" spans="10:13" ht="15" customHeight="1">
      <c r="J150" s="246"/>
      <c r="K150" s="246"/>
      <c r="M150" s="246"/>
    </row>
    <row r="151" spans="10:13" ht="15" customHeight="1">
      <c r="J151" s="246"/>
      <c r="K151" s="246"/>
      <c r="M151" s="246"/>
    </row>
    <row r="152" spans="10:13" ht="15" customHeight="1">
      <c r="J152" s="246"/>
      <c r="K152" s="246"/>
      <c r="M152" s="246"/>
    </row>
    <row r="153" spans="10:13" ht="15" customHeight="1">
      <c r="J153" s="246"/>
      <c r="K153" s="246"/>
      <c r="L153" s="212"/>
      <c r="M153" s="246"/>
    </row>
    <row r="154" spans="10:13" ht="15" customHeight="1">
      <c r="J154" s="246"/>
      <c r="K154" s="246"/>
      <c r="L154" s="212"/>
      <c r="M154" s="246"/>
    </row>
    <row r="155" spans="10:13" ht="15" customHeight="1">
      <c r="J155" s="246"/>
      <c r="K155" s="246"/>
      <c r="L155" s="212"/>
      <c r="M155" s="246"/>
    </row>
    <row r="156" spans="10:13" ht="15" customHeight="1">
      <c r="J156" s="246"/>
      <c r="K156" s="246"/>
      <c r="L156" s="212"/>
      <c r="M156" s="246"/>
    </row>
    <row r="157" spans="10:13" ht="15" customHeight="1">
      <c r="J157" s="246"/>
      <c r="K157" s="246"/>
      <c r="L157" s="212"/>
      <c r="M157" s="246"/>
    </row>
    <row r="158" spans="10:13" ht="15" customHeight="1">
      <c r="J158" s="246"/>
      <c r="K158" s="246"/>
      <c r="L158" s="212"/>
      <c r="M158" s="246"/>
    </row>
    <row r="159" spans="10:13" ht="15" customHeight="1">
      <c r="J159" s="246"/>
      <c r="K159" s="246"/>
      <c r="L159" s="212"/>
      <c r="M159" s="246"/>
    </row>
    <row r="160" spans="10:13" ht="15" customHeight="1">
      <c r="J160" s="246"/>
      <c r="K160" s="246"/>
      <c r="L160" s="212"/>
      <c r="M160" s="246"/>
    </row>
    <row r="161" spans="12:12" ht="15" customHeight="1">
      <c r="L161" s="212"/>
    </row>
    <row r="162" spans="12:12" ht="15" customHeight="1">
      <c r="L162" s="212"/>
    </row>
    <row r="163" spans="12:12" ht="15" customHeight="1">
      <c r="L163" s="212"/>
    </row>
    <row r="164" spans="12:12" ht="15" customHeight="1">
      <c r="L164" s="212"/>
    </row>
    <row r="165" spans="12:12" ht="15" customHeight="1">
      <c r="L165" s="212"/>
    </row>
    <row r="184" spans="10:13" ht="15" customHeight="1">
      <c r="L184" s="118"/>
    </row>
    <row r="186" spans="10:13" ht="15" customHeight="1">
      <c r="J186" s="246"/>
      <c r="K186" s="246"/>
      <c r="L186" s="246"/>
      <c r="M186" s="246"/>
    </row>
    <row r="187" spans="10:13" ht="15" customHeight="1">
      <c r="J187" s="246"/>
      <c r="K187" s="246"/>
      <c r="L187" s="246"/>
      <c r="M187" s="246"/>
    </row>
    <row r="188" spans="10:13" ht="15" customHeight="1">
      <c r="J188" s="246"/>
      <c r="K188" s="246"/>
      <c r="L188" s="246"/>
      <c r="M188" s="246"/>
    </row>
    <row r="189" spans="10:13" ht="15" customHeight="1">
      <c r="J189" s="246"/>
      <c r="K189" s="246"/>
      <c r="L189" s="246"/>
      <c r="M189" s="246"/>
    </row>
    <row r="190" spans="10:13" ht="15" customHeight="1">
      <c r="J190" s="246"/>
      <c r="K190" s="246"/>
      <c r="L190" s="246"/>
      <c r="M190" s="246"/>
    </row>
    <row r="191" spans="10:13" ht="15" customHeight="1">
      <c r="J191" s="246"/>
      <c r="K191" s="246"/>
      <c r="L191" s="246"/>
      <c r="M191" s="246"/>
    </row>
    <row r="192" spans="10:13" ht="15" customHeight="1">
      <c r="J192" s="246"/>
      <c r="K192" s="246"/>
      <c r="L192" s="246"/>
      <c r="M192" s="246"/>
    </row>
    <row r="193" spans="10:13" ht="15" customHeight="1">
      <c r="J193" s="246"/>
      <c r="K193" s="246"/>
      <c r="L193" s="246"/>
      <c r="M193" s="246"/>
    </row>
    <row r="194" spans="10:13" ht="15" customHeight="1">
      <c r="J194" s="246"/>
      <c r="K194" s="246"/>
      <c r="L194" s="246"/>
      <c r="M194" s="246"/>
    </row>
    <row r="195" spans="10:13" ht="15" customHeight="1">
      <c r="J195" s="246"/>
      <c r="K195" s="246"/>
      <c r="L195" s="246"/>
      <c r="M195" s="246"/>
    </row>
    <row r="196" spans="10:13" ht="15" customHeight="1">
      <c r="J196" s="246"/>
      <c r="K196" s="246"/>
      <c r="M196" s="246"/>
    </row>
    <row r="197" spans="10:13" ht="15" customHeight="1">
      <c r="J197" s="246"/>
      <c r="K197" s="246"/>
      <c r="M197" s="246"/>
    </row>
    <row r="198" spans="10:13" ht="15" customHeight="1">
      <c r="J198" s="246"/>
      <c r="K198" s="246"/>
      <c r="M198" s="246"/>
    </row>
    <row r="199" spans="10:13" ht="15" customHeight="1">
      <c r="J199" s="246"/>
      <c r="K199" s="246"/>
      <c r="M199" s="246"/>
    </row>
    <row r="200" spans="10:13" ht="15" customHeight="1">
      <c r="J200" s="246"/>
      <c r="K200" s="246"/>
      <c r="M200" s="246"/>
    </row>
    <row r="201" spans="10:13" ht="15" customHeight="1">
      <c r="J201" s="246"/>
      <c r="K201" s="246"/>
      <c r="M201" s="246"/>
    </row>
    <row r="202" spans="10:13" ht="15" customHeight="1">
      <c r="J202" s="246"/>
      <c r="K202" s="246"/>
      <c r="M202" s="246"/>
    </row>
    <row r="203" spans="10:13" ht="15" customHeight="1">
      <c r="J203" s="246"/>
      <c r="K203" s="246"/>
      <c r="M203" s="246"/>
    </row>
    <row r="204" spans="10:13" ht="15" customHeight="1">
      <c r="J204" s="246"/>
      <c r="K204" s="246"/>
      <c r="M204" s="246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4A3BD-7710-44E6-A515-8306B288D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3.xml><?xml version="1.0" encoding="utf-8"?>
<ds:datastoreItem xmlns:ds="http://schemas.openxmlformats.org/officeDocument/2006/customXml" ds:itemID="{C229A5AA-ED10-4706-9D2E-D34E23FD050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67b352-ea57-489e-a59a-7ce1cbaae621"/>
    <ds:schemaRef ds:uri="cdaa483f-becd-4601-9da5-7224441603e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00E7EBE-EBF7-4AC8-A6DC-F9A509F86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Ignacio Ferruz Castellanos</cp:lastModifiedBy>
  <cp:lastPrinted>2011-04-19T13:35:12Z</cp:lastPrinted>
  <dcterms:created xsi:type="dcterms:W3CDTF">2009-05-16T00:13:33Z</dcterms:created>
  <dcterms:modified xsi:type="dcterms:W3CDTF">2025-01-06T14:13:05Z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