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ferruz\Documents\"/>
    </mc:Choice>
  </mc:AlternateContent>
  <bookViews>
    <workbookView xWindow="0" yWindow="0" windowWidth="20490" windowHeight="8820" tabRatio="904" firstSheet="1" activeTab="1"/>
  </bookViews>
  <sheets>
    <sheet name=" BExRepositorySheet" sheetId="9" state="veryHidden" r:id="rId1"/>
    <sheet name=" Results" sheetId="18" r:id="rId2"/>
    <sheet name=" Results by Segment" sheetId="29" r:id="rId3"/>
    <sheet name=" Quarterly Results" sheetId="30" r:id="rId4"/>
    <sheet name=" Statement of financial positio" sheetId="8" r:id="rId5"/>
    <sheet name=" Financial Debt" sheetId="23" r:id="rId6"/>
    <sheet name=" Cash flow" sheetId="17" r:id="rId7"/>
    <sheet name=" Indicators" sheetId="15" r:id="rId8"/>
    <sheet name=" Calculations" sheetId="4" state="hidden" r:id="rId9"/>
    <sheet name=" Balance" sheetId="11" state="hidden" r:id="rId10"/>
    <sheet name=" Result" sheetId="12" state="hidden" r:id="rId11"/>
    <sheet name=" Flow" sheetId="13" state="hidden" r:id="rId12"/>
    <sheet name=" Annualized" sheetId="10" state="hidden" r:id="rId13"/>
    <sheet name="Share value" sheetId="28" state="hidden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11" hidden="1">[1]Flujo!$B$2:$E$71</definedName>
    <definedName name="_Hlk47472038" localSheetId="2">'[2]Resultados por Segmento'!$B$10</definedName>
    <definedName name="_xlnm.Print_Area" localSheetId="8">[3]Cálculos!$H$4:$L$50</definedName>
    <definedName name="_xlnm.Print_Area" localSheetId="6">'[4]Flujo de efectivo'!#REF!</definedName>
    <definedName name="_xlnm.Print_Area" localSheetId="7">[5]Indicadores!#REF!</definedName>
    <definedName name="_xlnm.Print_Area" localSheetId="1">[6]Resultados!#REF!</definedName>
    <definedName name="_xlnm.Print_Area" localSheetId="4">'[7]Estado de situación financiera'!#REF!</definedName>
    <definedName name="Base">'[8]ER-Mod'!$B$3</definedName>
    <definedName name="empresa">'[8]ER-Mod'!$A$2</definedName>
    <definedName name="key">'[8]ER-Mod'!$B$2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3" l="1"/>
  <c r="D71" i="13"/>
  <c r="E70" i="13"/>
  <c r="D70" i="13"/>
  <c r="E69" i="13"/>
  <c r="D69" i="13"/>
  <c r="E68" i="13"/>
  <c r="D68" i="13"/>
  <c r="E64" i="13"/>
  <c r="D64" i="13"/>
  <c r="E63" i="13"/>
  <c r="D63" i="13"/>
  <c r="E62" i="13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4" i="13"/>
  <c r="D54" i="13"/>
  <c r="E53" i="13"/>
  <c r="D53" i="13"/>
  <c r="E52" i="13"/>
  <c r="D52" i="13"/>
  <c r="E51" i="13"/>
  <c r="D51" i="13"/>
  <c r="E50" i="13"/>
  <c r="D50" i="13"/>
  <c r="E49" i="13"/>
  <c r="D49" i="13"/>
  <c r="E47" i="13"/>
  <c r="D47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D24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4" i="13"/>
  <c r="D14" i="13"/>
  <c r="E13" i="13"/>
  <c r="D13" i="13"/>
  <c r="E12" i="13"/>
  <c r="D12" i="13"/>
  <c r="E11" i="13"/>
  <c r="D11" i="13"/>
  <c r="E10" i="13"/>
  <c r="D10" i="13"/>
  <c r="E8" i="13"/>
  <c r="D8" i="13"/>
  <c r="E7" i="13"/>
  <c r="D7" i="13"/>
  <c r="E6" i="13"/>
  <c r="D6" i="13"/>
  <c r="E5" i="13"/>
  <c r="D5" i="13"/>
  <c r="E4" i="13"/>
  <c r="D4" i="13"/>
  <c r="G26" i="12"/>
  <c r="F26" i="12"/>
  <c r="E26" i="12"/>
  <c r="D26" i="12"/>
  <c r="G21" i="12"/>
  <c r="F21" i="12"/>
  <c r="E21" i="12"/>
  <c r="D21" i="12"/>
  <c r="G19" i="12"/>
  <c r="F19" i="12"/>
  <c r="E19" i="12"/>
  <c r="D19" i="12"/>
  <c r="G16" i="12"/>
  <c r="F16" i="12"/>
  <c r="E16" i="12"/>
  <c r="D16" i="12"/>
  <c r="G15" i="12"/>
  <c r="F15" i="12"/>
  <c r="E15" i="12"/>
  <c r="D15" i="12"/>
  <c r="G14" i="12"/>
  <c r="F14" i="12"/>
  <c r="E14" i="12"/>
  <c r="D14" i="12"/>
  <c r="G13" i="12"/>
  <c r="F13" i="12"/>
  <c r="E13" i="12"/>
  <c r="D13" i="12"/>
  <c r="G11" i="12"/>
  <c r="F11" i="12"/>
  <c r="E11" i="12"/>
  <c r="D11" i="12"/>
  <c r="G10" i="12"/>
  <c r="F10" i="12"/>
  <c r="E10" i="12"/>
  <c r="D10" i="12"/>
  <c r="G9" i="12"/>
  <c r="F9" i="12"/>
  <c r="E9" i="12"/>
  <c r="D9" i="12"/>
  <c r="G8" i="12"/>
  <c r="F8" i="12"/>
  <c r="E8" i="12"/>
  <c r="D8" i="12"/>
  <c r="G7" i="12"/>
  <c r="F7" i="12"/>
  <c r="E7" i="12"/>
  <c r="D7" i="12"/>
  <c r="G6" i="12"/>
  <c r="F6" i="12"/>
  <c r="E6" i="12"/>
  <c r="D6" i="12"/>
  <c r="G5" i="12"/>
  <c r="F5" i="12"/>
  <c r="E5" i="12"/>
  <c r="D5" i="12"/>
  <c r="E64" i="11"/>
  <c r="D64" i="11"/>
  <c r="E62" i="11"/>
  <c r="D62" i="11"/>
  <c r="E61" i="11"/>
  <c r="D61" i="11"/>
  <c r="E60" i="11"/>
  <c r="D60" i="11"/>
  <c r="E59" i="11"/>
  <c r="D59" i="11"/>
  <c r="E58" i="11"/>
  <c r="D58" i="11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E43" i="11"/>
  <c r="D43" i="11"/>
  <c r="E41" i="11"/>
  <c r="D41" i="11"/>
  <c r="E40" i="11"/>
  <c r="D40" i="11"/>
  <c r="E39" i="11"/>
  <c r="D39" i="11"/>
  <c r="E38" i="11"/>
  <c r="D38" i="11"/>
  <c r="E37" i="11"/>
  <c r="D37" i="11"/>
  <c r="E36" i="11"/>
  <c r="D36" i="11"/>
  <c r="E35" i="11"/>
  <c r="D35" i="11"/>
  <c r="E34" i="11"/>
  <c r="D34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4" i="11"/>
  <c r="D14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D44" i="4" l="1"/>
  <c r="D46" i="4" s="1"/>
  <c r="C36" i="4" l="1"/>
  <c r="G62" i="11" l="1"/>
  <c r="G12" i="12"/>
  <c r="G18" i="12" s="1"/>
  <c r="G20" i="12" s="1"/>
  <c r="G23" i="12" s="1"/>
  <c r="G25" i="12" s="1"/>
  <c r="F12" i="12"/>
  <c r="F18" i="12" s="1"/>
  <c r="F20" i="12" s="1"/>
  <c r="F23" i="12" s="1"/>
  <c r="F25" i="12" s="1"/>
  <c r="F29" i="12" l="1"/>
  <c r="F30" i="12" s="1"/>
  <c r="F27" i="12"/>
  <c r="G29" i="12"/>
  <c r="G30" i="12" s="1"/>
  <c r="G27" i="12"/>
  <c r="F13" i="4" l="1"/>
  <c r="F12" i="4"/>
  <c r="F11" i="4"/>
  <c r="F10" i="4"/>
  <c r="F7" i="4"/>
  <c r="F6" i="4"/>
  <c r="E67" i="4"/>
  <c r="E66" i="4"/>
  <c r="E65" i="4"/>
  <c r="E62" i="4"/>
  <c r="E60" i="4"/>
  <c r="E59" i="4"/>
  <c r="E58" i="4"/>
  <c r="E57" i="4"/>
  <c r="E55" i="4"/>
  <c r="E54" i="4"/>
  <c r="E53" i="4"/>
  <c r="E52" i="4"/>
  <c r="E51" i="4"/>
  <c r="E50" i="4"/>
  <c r="F18" i="4" s="1"/>
  <c r="F32" i="4"/>
  <c r="F30" i="4"/>
  <c r="F29" i="4"/>
  <c r="F28" i="4"/>
  <c r="L49" i="4" l="1"/>
  <c r="C46" i="4"/>
  <c r="J49" i="4" s="1"/>
  <c r="D49" i="4" l="1"/>
  <c r="F27" i="4"/>
  <c r="E27" i="4"/>
  <c r="G14" i="11" l="1"/>
  <c r="C49" i="4" l="1"/>
  <c r="D27" i="4"/>
  <c r="D16" i="4"/>
  <c r="E49" i="4" l="1"/>
  <c r="D13" i="11"/>
  <c r="J70" i="13" l="1"/>
  <c r="K69" i="13" l="1"/>
  <c r="J54" i="13" l="1"/>
  <c r="G13" i="13"/>
  <c r="L10" i="4"/>
  <c r="D48" i="13" l="1"/>
  <c r="E55" i="13" l="1"/>
  <c r="D55" i="13"/>
  <c r="D22" i="13"/>
  <c r="E22" i="13"/>
  <c r="C65" i="4" l="1"/>
  <c r="C62" i="4"/>
  <c r="E32" i="4" l="1"/>
  <c r="D12" i="12" l="1"/>
  <c r="L21" i="12" l="1"/>
  <c r="M21" i="12" s="1"/>
  <c r="C66" i="4"/>
  <c r="D66" i="4"/>
  <c r="I21" i="12"/>
  <c r="J21" i="12" s="1"/>
  <c r="E48" i="13"/>
  <c r="I48" i="13" s="1"/>
  <c r="E12" i="12" l="1"/>
  <c r="E61" i="4" l="1"/>
  <c r="F31" i="4"/>
  <c r="E18" i="12" l="1"/>
  <c r="D18" i="12"/>
  <c r="H17" i="13" l="1"/>
  <c r="H16" i="13"/>
  <c r="D15" i="13" l="1"/>
  <c r="E9" i="13"/>
  <c r="D9" i="13"/>
  <c r="D2" i="13"/>
  <c r="E2" i="13"/>
  <c r="I10" i="12"/>
  <c r="J10" i="12" s="1"/>
  <c r="I11" i="12"/>
  <c r="J11" i="12" s="1"/>
  <c r="I14" i="12"/>
  <c r="J14" i="12" s="1"/>
  <c r="I15" i="12"/>
  <c r="J15" i="12" s="1"/>
  <c r="I16" i="12"/>
  <c r="J16" i="12" s="1"/>
  <c r="E31" i="11"/>
  <c r="D31" i="11"/>
  <c r="D23" i="13" l="1"/>
  <c r="I13" i="12"/>
  <c r="J13" i="12" s="1"/>
  <c r="G5" i="13" l="1"/>
  <c r="G6" i="13" l="1"/>
  <c r="E20" i="12" l="1"/>
  <c r="D20" i="12"/>
  <c r="D23" i="12" s="1"/>
  <c r="D25" i="12" s="1"/>
  <c r="D29" i="12" l="1"/>
  <c r="D30" i="12" s="1"/>
  <c r="E23" i="12"/>
  <c r="E25" i="12" s="1"/>
  <c r="E29" i="12" s="1"/>
  <c r="E30" i="12" s="1"/>
  <c r="E27" i="12" l="1"/>
  <c r="D27" i="12"/>
  <c r="I9" i="12" l="1"/>
  <c r="L9" i="12" l="1"/>
  <c r="M9" i="12" s="1"/>
  <c r="J9" i="12"/>
  <c r="D67" i="4"/>
  <c r="C67" i="4"/>
  <c r="D65" i="4"/>
  <c r="E24" i="4" s="1"/>
  <c r="D24" i="4"/>
  <c r="J27" i="4" s="1"/>
  <c r="P50" i="4"/>
  <c r="D62" i="4"/>
  <c r="D60" i="4"/>
  <c r="C60" i="4"/>
  <c r="D59" i="4"/>
  <c r="C59" i="4"/>
  <c r="D58" i="4"/>
  <c r="E21" i="4" s="1"/>
  <c r="C58" i="4"/>
  <c r="D21" i="4" s="1"/>
  <c r="D57" i="4"/>
  <c r="C57" i="4"/>
  <c r="D55" i="4"/>
  <c r="C55" i="4"/>
  <c r="D54" i="4"/>
  <c r="C54" i="4"/>
  <c r="D53" i="4"/>
  <c r="E25" i="4" s="1"/>
  <c r="C53" i="4"/>
  <c r="D25" i="4" s="1"/>
  <c r="J29" i="4" s="1"/>
  <c r="D52" i="4"/>
  <c r="C52" i="4"/>
  <c r="D51" i="4"/>
  <c r="C51" i="4"/>
  <c r="D50" i="4"/>
  <c r="C50" i="4"/>
  <c r="P46" i="4"/>
  <c r="M49" i="4"/>
  <c r="D29" i="4"/>
  <c r="D28" i="4"/>
  <c r="F33" i="4"/>
  <c r="E29" i="4"/>
  <c r="L30" i="4"/>
  <c r="L24" i="4"/>
  <c r="F25" i="4"/>
  <c r="L29" i="4" s="1"/>
  <c r="F24" i="4"/>
  <c r="L27" i="4" s="1"/>
  <c r="F21" i="4"/>
  <c r="F14" i="4"/>
  <c r="F8" i="4"/>
  <c r="L4" i="4"/>
  <c r="J4" i="4"/>
  <c r="J28" i="4" l="1"/>
  <c r="C19" i="10"/>
  <c r="L28" i="4"/>
  <c r="J30" i="4"/>
  <c r="C61" i="4"/>
  <c r="D18" i="4"/>
  <c r="J35" i="4" s="1"/>
  <c r="C56" i="4"/>
  <c r="E18" i="4"/>
  <c r="L35" i="4" s="1"/>
  <c r="F15" i="4"/>
  <c r="D61" i="4"/>
  <c r="D56" i="4"/>
  <c r="K49" i="4"/>
  <c r="O49" i="4" s="1"/>
  <c r="P49" i="4"/>
  <c r="D19" i="4"/>
  <c r="E19" i="4"/>
  <c r="E56" i="4" l="1"/>
  <c r="E64" i="4" s="1"/>
  <c r="F19" i="4"/>
  <c r="P35" i="4"/>
  <c r="C64" i="4"/>
  <c r="D64" i="4"/>
  <c r="F20" i="4" l="1"/>
  <c r="L23" i="4" s="1"/>
  <c r="M23" i="4" s="1"/>
  <c r="E68" i="4"/>
  <c r="E69" i="4" s="1"/>
  <c r="E20" i="4"/>
  <c r="C11" i="10" s="1"/>
  <c r="D68" i="4"/>
  <c r="D69" i="4" s="1"/>
  <c r="E23" i="4" s="1"/>
  <c r="D20" i="4"/>
  <c r="C12" i="10" s="1"/>
  <c r="C68" i="4"/>
  <c r="C69" i="4" s="1"/>
  <c r="L39" i="4" l="1"/>
  <c r="L42" i="4" s="1"/>
  <c r="F23" i="4"/>
  <c r="L26" i="4" s="1"/>
  <c r="L32" i="4" s="1"/>
  <c r="E22" i="4" s="1"/>
  <c r="D23" i="4"/>
  <c r="J26" i="4" s="1"/>
  <c r="J32" i="4" s="1"/>
  <c r="D22" i="4" s="1"/>
  <c r="G68" i="13"/>
  <c r="H68" i="13" s="1"/>
  <c r="G67" i="13"/>
  <c r="H67" i="13" s="1"/>
  <c r="G62" i="13"/>
  <c r="H62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9" i="13"/>
  <c r="H49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2" i="13"/>
  <c r="H22" i="13" s="1"/>
  <c r="G21" i="13"/>
  <c r="H21" i="13" s="1"/>
  <c r="G20" i="13"/>
  <c r="H20" i="13" s="1"/>
  <c r="G19" i="13"/>
  <c r="H19" i="13" s="1"/>
  <c r="G18" i="13"/>
  <c r="H18" i="13" s="1"/>
  <c r="H13" i="13"/>
  <c r="G12" i="13"/>
  <c r="H12" i="13" s="1"/>
  <c r="G11" i="13"/>
  <c r="H11" i="13" s="1"/>
  <c r="G9" i="13"/>
  <c r="H9" i="13" s="1"/>
  <c r="G8" i="13"/>
  <c r="H8" i="13" s="1"/>
  <c r="G7" i="13"/>
  <c r="H7" i="13" s="1"/>
  <c r="G4" i="13"/>
  <c r="H4" i="13" s="1"/>
  <c r="I26" i="12"/>
  <c r="J26" i="12" s="1"/>
  <c r="I19" i="12"/>
  <c r="J19" i="12" s="1"/>
  <c r="I8" i="12"/>
  <c r="J8" i="12" s="1"/>
  <c r="I7" i="12"/>
  <c r="J7" i="12" s="1"/>
  <c r="I6" i="12"/>
  <c r="J6" i="12" s="1"/>
  <c r="I5" i="12"/>
  <c r="L45" i="4" l="1"/>
  <c r="M45" i="4" s="1"/>
  <c r="J5" i="12"/>
  <c r="M32" i="4"/>
  <c r="F22" i="4" s="1"/>
  <c r="L8" i="12"/>
  <c r="M8" i="12" s="1"/>
  <c r="L26" i="12"/>
  <c r="M26" i="12" s="1"/>
  <c r="L6" i="12"/>
  <c r="M6" i="12" s="1"/>
  <c r="L19" i="12"/>
  <c r="M19" i="12" s="1"/>
  <c r="L14" i="12"/>
  <c r="M14" i="12" s="1"/>
  <c r="L15" i="12"/>
  <c r="M15" i="12" s="1"/>
  <c r="L11" i="12"/>
  <c r="M11" i="12" s="1"/>
  <c r="L13" i="12"/>
  <c r="M13" i="12" s="1"/>
  <c r="L5" i="12"/>
  <c r="M5" i="12" s="1"/>
  <c r="L10" i="12"/>
  <c r="M10" i="12" s="1"/>
  <c r="L20" i="12" l="1"/>
  <c r="M20" i="12" s="1"/>
  <c r="L7" i="12"/>
  <c r="M7" i="12" s="1"/>
  <c r="L16" i="12"/>
  <c r="M16" i="12" s="1"/>
  <c r="L27" i="12" l="1"/>
  <c r="M27" i="12" s="1"/>
  <c r="L23" i="12"/>
  <c r="M23" i="12" s="1"/>
  <c r="I18" i="12" l="1"/>
  <c r="L18" i="12" l="1"/>
  <c r="M18" i="12" s="1"/>
  <c r="J18" i="12"/>
  <c r="I20" i="12"/>
  <c r="J20" i="12" s="1"/>
  <c r="I23" i="12" l="1"/>
  <c r="J23" i="12" s="1"/>
  <c r="I25" i="12" l="1"/>
  <c r="J25" i="12" s="1"/>
  <c r="I27" i="12"/>
  <c r="J27" i="12" s="1"/>
  <c r="L25" i="12" l="1"/>
  <c r="M25" i="12" s="1"/>
  <c r="B19" i="10"/>
  <c r="B18" i="10"/>
  <c r="B17" i="10"/>
  <c r="B13" i="10"/>
  <c r="B20" i="10" s="1"/>
  <c r="B12" i="10"/>
  <c r="B11" i="10"/>
  <c r="B10" i="10"/>
  <c r="C3" i="10" l="1"/>
  <c r="C17" i="10" l="1"/>
  <c r="C18" i="10" l="1"/>
  <c r="C4" i="10" l="1"/>
  <c r="C20" i="10"/>
  <c r="J24" i="4" s="1"/>
  <c r="Q24" i="4" l="1"/>
  <c r="P24" i="4"/>
  <c r="C10" i="10"/>
  <c r="C13" i="10" s="1"/>
  <c r="J23" i="4" s="1"/>
  <c r="K23" i="4" l="1"/>
  <c r="C5" i="10"/>
  <c r="C6" i="10" s="1"/>
  <c r="J39" i="4" s="1"/>
  <c r="P23" i="4" l="1"/>
  <c r="O23" i="4"/>
  <c r="Q23" i="4"/>
  <c r="P39" i="4" l="1"/>
  <c r="Q39" i="4"/>
  <c r="J42" i="4"/>
  <c r="Q42" i="4" l="1"/>
  <c r="J45" i="4"/>
  <c r="K45" i="4" s="1"/>
  <c r="O45" i="4" s="1"/>
  <c r="P42" i="4"/>
  <c r="P45" i="4" l="1"/>
  <c r="D12" i="4" l="1"/>
  <c r="D26" i="11" l="1"/>
  <c r="D15" i="11"/>
  <c r="D54" i="11" l="1"/>
  <c r="D42" i="11"/>
  <c r="D63" i="11"/>
  <c r="D7" i="4"/>
  <c r="D35" i="4" l="1"/>
  <c r="D11" i="4"/>
  <c r="J20" i="4" s="1"/>
  <c r="D65" i="11"/>
  <c r="D13" i="4"/>
  <c r="J15" i="4" s="1"/>
  <c r="D28" i="11"/>
  <c r="D36" i="4" s="1"/>
  <c r="D6" i="4"/>
  <c r="D44" i="11"/>
  <c r="J7" i="4" l="1"/>
  <c r="D8" i="4"/>
  <c r="D56" i="11"/>
  <c r="D10" i="4"/>
  <c r="J14" i="4" l="1"/>
  <c r="J18" i="4"/>
  <c r="J21" i="4" s="1"/>
  <c r="J17" i="4"/>
  <c r="J11" i="4"/>
  <c r="J8" i="4"/>
  <c r="K7" i="4" s="1"/>
  <c r="D67" i="11"/>
  <c r="D69" i="11" s="1"/>
  <c r="D14" i="4"/>
  <c r="D15" i="4" s="1"/>
  <c r="K14" i="4" l="1"/>
  <c r="K17" i="4"/>
  <c r="K20" i="4" l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H23" i="11" s="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F34" i="4"/>
  <c r="G8" i="11" l="1"/>
  <c r="H8" i="11" s="1"/>
  <c r="G10" i="11"/>
  <c r="H10" i="11" s="1"/>
  <c r="G48" i="11"/>
  <c r="H48" i="11" s="1"/>
  <c r="G52" i="11"/>
  <c r="H52" i="11" s="1"/>
  <c r="G60" i="11"/>
  <c r="H60" i="11" s="1"/>
  <c r="H14" i="11"/>
  <c r="E13" i="11"/>
  <c r="G6" i="11"/>
  <c r="H6" i="11" s="1"/>
  <c r="G17" i="11"/>
  <c r="H17" i="11" s="1"/>
  <c r="G18" i="11"/>
  <c r="H18" i="11" s="1"/>
  <c r="G34" i="11"/>
  <c r="H34" i="11" s="1"/>
  <c r="G43" i="11"/>
  <c r="H43" i="11" s="1"/>
  <c r="G49" i="11"/>
  <c r="H49" i="11" s="1"/>
  <c r="G61" i="11"/>
  <c r="H61" i="11" s="1"/>
  <c r="G35" i="11"/>
  <c r="H35" i="11" s="1"/>
  <c r="G46" i="11"/>
  <c r="H46" i="11" s="1"/>
  <c r="G36" i="11"/>
  <c r="H36" i="11" s="1"/>
  <c r="G40" i="11"/>
  <c r="H40" i="11" s="1"/>
  <c r="G47" i="11"/>
  <c r="H47" i="11" s="1"/>
  <c r="G59" i="11"/>
  <c r="H59" i="11" s="1"/>
  <c r="E42" i="11" l="1"/>
  <c r="E44" i="11" s="1"/>
  <c r="E54" i="11"/>
  <c r="E26" i="11"/>
  <c r="E7" i="4" s="1"/>
  <c r="E12" i="4"/>
  <c r="G64" i="11"/>
  <c r="H64" i="11" s="1"/>
  <c r="E63" i="11"/>
  <c r="G63" i="11" s="1"/>
  <c r="G58" i="11"/>
  <c r="H58" i="11" s="1"/>
  <c r="E15" i="11"/>
  <c r="G13" i="11"/>
  <c r="H13" i="11" s="1"/>
  <c r="G15" i="11" l="1"/>
  <c r="H15" i="11" s="1"/>
  <c r="E11" i="4"/>
  <c r="L20" i="4" s="1"/>
  <c r="P20" i="4" s="1"/>
  <c r="G42" i="11"/>
  <c r="H42" i="11" s="1"/>
  <c r="G54" i="11"/>
  <c r="H54" i="11" s="1"/>
  <c r="G26" i="11"/>
  <c r="H26" i="11" s="1"/>
  <c r="E28" i="11"/>
  <c r="G28" i="11" s="1"/>
  <c r="H28" i="11" s="1"/>
  <c r="E6" i="4"/>
  <c r="E65" i="11"/>
  <c r="G65" i="11" s="1"/>
  <c r="H65" i="11" s="1"/>
  <c r="E13" i="4"/>
  <c r="H63" i="11"/>
  <c r="E56" i="11"/>
  <c r="E10" i="4"/>
  <c r="G44" i="11"/>
  <c r="H44" i="11" s="1"/>
  <c r="Q20" i="4" l="1"/>
  <c r="L7" i="4"/>
  <c r="Q7" i="4" s="1"/>
  <c r="E8" i="4"/>
  <c r="L43" i="4" s="1"/>
  <c r="L11" i="4"/>
  <c r="L18" i="4"/>
  <c r="E14" i="4"/>
  <c r="L14" i="4"/>
  <c r="L8" i="4"/>
  <c r="L17" i="4"/>
  <c r="L40" i="4"/>
  <c r="M39" i="4" s="1"/>
  <c r="J40" i="4"/>
  <c r="L15" i="4"/>
  <c r="E67" i="11"/>
  <c r="G56" i="11"/>
  <c r="H56" i="11" s="1"/>
  <c r="P15" i="4" l="1"/>
  <c r="Q15" i="4"/>
  <c r="M7" i="4"/>
  <c r="O7" i="4" s="1"/>
  <c r="P8" i="4"/>
  <c r="Q8" i="4"/>
  <c r="M10" i="4"/>
  <c r="P11" i="4"/>
  <c r="Q11" i="4"/>
  <c r="P40" i="4"/>
  <c r="Q40" i="4"/>
  <c r="K39" i="4"/>
  <c r="M14" i="4"/>
  <c r="Q14" i="4"/>
  <c r="P14" i="4"/>
  <c r="J43" i="4"/>
  <c r="E15" i="4"/>
  <c r="M42" i="4"/>
  <c r="P7" i="4"/>
  <c r="E69" i="11"/>
  <c r="G67" i="11"/>
  <c r="H67" i="11" s="1"/>
  <c r="M17" i="4"/>
  <c r="Q17" i="4"/>
  <c r="P17" i="4"/>
  <c r="L21" i="4"/>
  <c r="Q18" i="4"/>
  <c r="P18" i="4"/>
  <c r="O17" i="4" l="1"/>
  <c r="M20" i="4"/>
  <c r="P21" i="4"/>
  <c r="Q21" i="4"/>
  <c r="O14" i="4"/>
  <c r="P43" i="4"/>
  <c r="Q43" i="4"/>
  <c r="K42" i="4"/>
  <c r="O39" i="4"/>
  <c r="O20" i="4" l="1"/>
  <c r="O42" i="4"/>
  <c r="D65" i="13" l="1"/>
  <c r="D66" i="13" s="1"/>
  <c r="D30" i="4" l="1"/>
  <c r="D31" i="4" l="1"/>
  <c r="G63" i="13" l="1"/>
  <c r="H63" i="13" s="1"/>
  <c r="E65" i="13"/>
  <c r="G64" i="13"/>
  <c r="H64" i="13" s="1"/>
  <c r="E30" i="4" l="1"/>
  <c r="G65" i="13"/>
  <c r="H65" i="13" s="1"/>
  <c r="D32" i="4" l="1"/>
  <c r="D33" i="4" s="1"/>
  <c r="G70" i="13"/>
  <c r="H70" i="13" s="1"/>
  <c r="J10" i="4" l="1"/>
  <c r="D34" i="4"/>
  <c r="Q10" i="4" l="1"/>
  <c r="P10" i="4"/>
  <c r="K10" i="4"/>
  <c r="O10" i="4" l="1"/>
  <c r="G14" i="13" l="1"/>
  <c r="H14" i="13" s="1"/>
  <c r="E15" i="13" l="1"/>
  <c r="G10" i="13"/>
  <c r="H10" i="13" s="1"/>
  <c r="E23" i="13" l="1"/>
  <c r="G15" i="13"/>
  <c r="H15" i="13" s="1"/>
  <c r="G23" i="13" l="1"/>
  <c r="H23" i="13" s="1"/>
  <c r="E28" i="4"/>
  <c r="E66" i="13"/>
  <c r="G66" i="13" s="1"/>
  <c r="H66" i="13" s="1"/>
  <c r="E31" i="4" l="1"/>
  <c r="E33" i="4" s="1"/>
  <c r="E73" i="13" l="1"/>
  <c r="G69" i="13" l="1"/>
  <c r="H69" i="13" s="1"/>
  <c r="D73" i="13"/>
  <c r="G71" i="13"/>
  <c r="H71" i="13" s="1"/>
</calcChain>
</file>

<file path=xl/sharedStrings.xml><?xml version="1.0" encoding="utf-8"?>
<sst xmlns="http://schemas.openxmlformats.org/spreadsheetml/2006/main" count="579" uniqueCount="415">
  <si>
    <t>Current liabilities</t>
  </si>
  <si>
    <t>Non-current liabilities</t>
  </si>
  <si>
    <t>Current assets</t>
  </si>
  <si>
    <t>Non-current assets</t>
  </si>
  <si>
    <t/>
  </si>
  <si>
    <t>FINANCIAL INDICATORS</t>
  </si>
  <si>
    <t>BALANCE</t>
  </si>
  <si>
    <t>LIQUIDITY</t>
  </si>
  <si>
    <t>M$</t>
  </si>
  <si>
    <t>CURRENT LIQUIDITY</t>
  </si>
  <si>
    <t>=</t>
  </si>
  <si>
    <t>TOTAL</t>
  </si>
  <si>
    <t>ACID REASON</t>
  </si>
  <si>
    <t>INDEBTEDNESS</t>
  </si>
  <si>
    <t>TOTAL DEBT</t>
  </si>
  <si>
    <t xml:space="preserve"> Current liabilities</t>
  </si>
  <si>
    <t>EERR</t>
  </si>
  <si>
    <t>SHORT-TERM DEBT</t>
  </si>
  <si>
    <t xml:space="preserve"> Total debt</t>
  </si>
  <si>
    <t>LONG TERM DEBT</t>
  </si>
  <si>
    <t>COVERAGE OF FINANCIAL EXPENSES</t>
  </si>
  <si>
    <t>Result before taxes and interest</t>
  </si>
  <si>
    <t>FINANCIAL EXPENSES</t>
  </si>
  <si>
    <t>Financial expenses</t>
  </si>
  <si>
    <t>RAIIDAIE</t>
  </si>
  <si>
    <t>NET INCOME AFTER TAX</t>
  </si>
  <si>
    <t>Income Tax</t>
  </si>
  <si>
    <t>RAIIDAIE</t>
  </si>
  <si>
    <t>Total net flow for the period</t>
  </si>
  <si>
    <t xml:space="preserve"> Taxes</t>
  </si>
  <si>
    <t>Interests (Financial expenses)</t>
  </si>
  <si>
    <t>Opening Cash Balance</t>
  </si>
  <si>
    <t>Closing Cash Balance</t>
  </si>
  <si>
    <t xml:space="preserve"> Extraordinary items</t>
  </si>
  <si>
    <t xml:space="preserve"> PROFITABILITY</t>
  </si>
  <si>
    <t>RETURN ON ASSETS</t>
  </si>
  <si>
    <t>Profit or loss for the year</t>
  </si>
  <si>
    <t>PROFITABILITY OF ASSETS</t>
  </si>
  <si>
    <t>Total Assets (average)</t>
  </si>
  <si>
    <t>EARNINGS PER SHARE</t>
  </si>
  <si>
    <t xml:space="preserve"> Result</t>
  </si>
  <si>
    <t xml:space="preserve"> Number of shares subscribed and paid</t>
  </si>
  <si>
    <t>RETURN OF DIVIDENDS</t>
  </si>
  <si>
    <t xml:space="preserve"> Dividends paid</t>
  </si>
  <si>
    <t xml:space="preserve"> Market share price</t>
  </si>
  <si>
    <t>Current assets</t>
  </si>
  <si>
    <t>Current liabilities</t>
  </si>
  <si>
    <t>CURRENT ASSETS</t>
  </si>
  <si>
    <t>NON-CURRENT ASSETS</t>
  </si>
  <si>
    <t>NON-CURRENT LIABILITIES</t>
  </si>
  <si>
    <t>CURRENT LIABILITIES</t>
  </si>
  <si>
    <t>MINORITY PARTICIPATION</t>
  </si>
  <si>
    <t>Operations Activity Flow</t>
  </si>
  <si>
    <t>Flow of investment activities</t>
  </si>
  <si>
    <t>Financing Activities Flow</t>
  </si>
  <si>
    <t>Cash flow and cash balance</t>
  </si>
  <si>
    <t>Non-current liabilities</t>
  </si>
  <si>
    <t xml:space="preserve"> Utility</t>
  </si>
  <si>
    <t>Operating income</t>
  </si>
  <si>
    <t>Ordinary Revenue, Total</t>
  </si>
  <si>
    <t>Cost of Sales</t>
  </si>
  <si>
    <t>Depreciation and amortization</t>
  </si>
  <si>
    <t>Depreciation and amortization</t>
  </si>
  <si>
    <t>Minority interest</t>
  </si>
  <si>
    <t>Liquidity</t>
  </si>
  <si>
    <t>times</t>
  </si>
  <si>
    <t>Indebtedness</t>
  </si>
  <si>
    <t>Current debt</t>
  </si>
  <si>
    <t>Non-current debt</t>
  </si>
  <si>
    <t>Profitability</t>
  </si>
  <si>
    <t>%</t>
  </si>
  <si>
    <t>$</t>
  </si>
  <si>
    <t>Total assets</t>
  </si>
  <si>
    <t>Total liabilities</t>
  </si>
  <si>
    <t>FLOW</t>
  </si>
  <si>
    <t>Profit before tax (including minority interests)</t>
  </si>
  <si>
    <t>Operating Result</t>
  </si>
  <si>
    <t>Financial Income</t>
  </si>
  <si>
    <t>Financial Costs</t>
  </si>
  <si>
    <t>Exchange Rate Difference</t>
  </si>
  <si>
    <t>Result by Adjustable Units</t>
  </si>
  <si>
    <t>Financial Result</t>
  </si>
  <si>
    <t>Other Expenses Other than Operations</t>
  </si>
  <si>
    <t>Result before tax</t>
  </si>
  <si>
    <t>Income Tax</t>
  </si>
  <si>
    <t>Minority Interest</t>
  </si>
  <si>
    <t>Result of the Exercise</t>
  </si>
  <si>
    <t>Gains on sale of non-current assets</t>
  </si>
  <si>
    <t>PROFITS of instrument holders</t>
  </si>
  <si>
    <t>Average controlling equity</t>
  </si>
  <si>
    <t>Employee benefits expenses</t>
  </si>
  <si>
    <t>Depreciation and amortization expenses</t>
  </si>
  <si>
    <t>Other expenses, by nature</t>
  </si>
  <si>
    <t>Equity attributable to the owners of the controlling company</t>
  </si>
  <si>
    <t>Non-controlling interests</t>
  </si>
  <si>
    <t>Total assets</t>
  </si>
  <si>
    <t>Financial income</t>
  </si>
  <si>
    <t>CONTROLLING ASSETS</t>
  </si>
  <si>
    <t xml:space="preserve"> Income from ordinary activities, total</t>
  </si>
  <si>
    <t>Raw materials and consumables used</t>
  </si>
  <si>
    <t>Reversal of impairment losses (impairment losses) recognized in profit or loss for the period</t>
  </si>
  <si>
    <t>Other expenses</t>
  </si>
  <si>
    <t>Profit attributable to owners of the parent company</t>
  </si>
  <si>
    <t>Accum June 2010</t>
  </si>
  <si>
    <t>ASSETS</t>
  </si>
  <si>
    <t>Note</t>
  </si>
  <si>
    <t>CURRENT ASSETS</t>
  </si>
  <si>
    <t>Cash and cash equivalents</t>
  </si>
  <si>
    <t>Other non-financial assets</t>
  </si>
  <si>
    <t>Trade debtors and other receivables</t>
  </si>
  <si>
    <t>Accounts receivable from related entities</t>
  </si>
  <si>
    <t>Inventories</t>
  </si>
  <si>
    <t>Total current assets other than assets or disposal groups classified as held for sale or held for distribution to owners</t>
  </si>
  <si>
    <t>TOTAL CURRENT ASSETS</t>
  </si>
  <si>
    <t>Intangible assets other than goodwill</t>
  </si>
  <si>
    <t>Capital gain</t>
  </si>
  <si>
    <t>TOTAL NON-CURRENT ASSETS</t>
  </si>
  <si>
    <t>ASSETS AND LIABILITIES</t>
  </si>
  <si>
    <t>CURRENT LIABILITIES</t>
  </si>
  <si>
    <t>Accounts payable to related entities</t>
  </si>
  <si>
    <t>Tax liabilities</t>
  </si>
  <si>
    <t>TOTAL CURRENT LIABILITIES</t>
  </si>
  <si>
    <t>NON-CURRENT LIABILITIES</t>
  </si>
  <si>
    <t>Other provisions</t>
  </si>
  <si>
    <t>Deferred tax liability</t>
  </si>
  <si>
    <t>Other accounts payable</t>
  </si>
  <si>
    <t>TOTAL LIABILITIES</t>
  </si>
  <si>
    <t>Issued capital</t>
  </si>
  <si>
    <t>Other equity interests</t>
  </si>
  <si>
    <t>Revenue</t>
  </si>
  <si>
    <t xml:space="preserve"> Revenue</t>
  </si>
  <si>
    <t xml:space="preserve"> Basic earnings per share</t>
  </si>
  <si>
    <t>Types of collections for operating activities</t>
  </si>
  <si>
    <t>Collections from sales of goods and provision of services</t>
  </si>
  <si>
    <t>Collections from contracts held for intermediation or trading purposes</t>
  </si>
  <si>
    <t>Collections from royalties, fees, commissions and other income from ordinary activities</t>
  </si>
  <si>
    <t>Collections from premiums and benefits, annuities and other benefits from subscribed policies</t>
  </si>
  <si>
    <t>Other charges for operating activities</t>
  </si>
  <si>
    <t>Payments to suppliers for the supply of goods and services</t>
  </si>
  <si>
    <t>Payments from contracts held for brokerage or trading</t>
  </si>
  <si>
    <t>Payments to and from employees</t>
  </si>
  <si>
    <t>Payments for premiums and benefits, annuities and other obligations arising from the policies subscribed</t>
  </si>
  <si>
    <t>Other payments for operating activities</t>
  </si>
  <si>
    <t>Dividends paid</t>
  </si>
  <si>
    <t>Dividends received</t>
  </si>
  <si>
    <t>Interest paid</t>
  </si>
  <si>
    <t>Interest received</t>
  </si>
  <si>
    <t>Cash flows from loss of control of subsidiaries or other businesses</t>
  </si>
  <si>
    <t>Cash flows used to obtain control of subsidiaries or other businesses</t>
  </si>
  <si>
    <t>Cash flows used in the purchase of non-controlling interests</t>
  </si>
  <si>
    <t>Other collections from the sale of assets or debt instruments of other entities</t>
  </si>
  <si>
    <t>Other payments to acquire assets or debt instruments from other entities</t>
  </si>
  <si>
    <t>Other collections from the sale of interests in joint ventures</t>
  </si>
  <si>
    <t>Other payments to acquire interests in joint ventures</t>
  </si>
  <si>
    <t>Loans to related entities</t>
  </si>
  <si>
    <t>Purchases of property, plant and equipment</t>
  </si>
  <si>
    <t>Purchases of intangible assets</t>
  </si>
  <si>
    <t>Purchases of other long-term assets</t>
  </si>
  <si>
    <t>Amounts from government subsidies</t>
  </si>
  <si>
    <t>Cash advances and loans granted to third parties</t>
  </si>
  <si>
    <t>Collections from the repayment of advances and loans granted to third parties</t>
  </si>
  <si>
    <t>Payments arising from futures, forward, options and financial swap contracts</t>
  </si>
  <si>
    <t>Collections from futures, forward, options and financial swap contracts</t>
  </si>
  <si>
    <t>Income taxes refunded (paid)</t>
  </si>
  <si>
    <t>Other cash inflows (outflows)</t>
  </si>
  <si>
    <t>Amounts from the issuance of shares</t>
  </si>
  <si>
    <t>Amounts from the issuance of other equity instruments</t>
  </si>
  <si>
    <t>Payments for acquiring or redeeming the entity's shares</t>
  </si>
  <si>
    <t>Payments for other equity interests</t>
  </si>
  <si>
    <t>Amounts from long-term loans</t>
  </si>
  <si>
    <t>Amounts from short-term loans</t>
  </si>
  <si>
    <t>Loans from related entities</t>
  </si>
  <si>
    <t>Payments of liabilities for financial leases</t>
  </si>
  <si>
    <t>Loan payments to related entities</t>
  </si>
  <si>
    <t>Effects of exchange rate changes on cash and cash equivalents</t>
  </si>
  <si>
    <t>Andean Waters Consolidated</t>
  </si>
  <si>
    <t>Reasoned Analysis</t>
  </si>
  <si>
    <t>RESULT BY NATURE</t>
  </si>
  <si>
    <t>% Var.</t>
  </si>
  <si>
    <t>Assets</t>
  </si>
  <si>
    <t>Total liabilities and equity</t>
  </si>
  <si>
    <t>Investment activities</t>
  </si>
  <si>
    <t>Acid ratio</t>
  </si>
  <si>
    <t>Total indebtedness</t>
  </si>
  <si>
    <t>Operating Costs and Expenses</t>
  </si>
  <si>
    <t>EBITDA</t>
  </si>
  <si>
    <t>Depreciation and Amortization</t>
  </si>
  <si>
    <t>Operating Result</t>
  </si>
  <si>
    <t>Net Income</t>
  </si>
  <si>
    <t>Sales</t>
  </si>
  <si>
    <t>Stake</t>
  </si>
  <si>
    <t>Total</t>
  </si>
  <si>
    <t>Difference</t>
  </si>
  <si>
    <t>Customers</t>
  </si>
  <si>
    <t>Current liquidity</t>
  </si>
  <si>
    <t>Currency</t>
  </si>
  <si>
    <t>Total</t>
  </si>
  <si>
    <t>12 months</t>
  </si>
  <si>
    <t>Dividend return (*)</t>
  </si>
  <si>
    <t>Results</t>
  </si>
  <si>
    <t>Revenue Analysis</t>
  </si>
  <si>
    <t>Total assets</t>
  </si>
  <si>
    <t>Totals</t>
  </si>
  <si>
    <t>Liabilities and equity</t>
  </si>
  <si>
    <t>to 3 years</t>
  </si>
  <si>
    <t>3 to 5 years</t>
  </si>
  <si>
    <t>more than 5 years</t>
  </si>
  <si>
    <t>Variable</t>
  </si>
  <si>
    <t>Fixed</t>
  </si>
  <si>
    <t>Annualized financial expense coverage</t>
  </si>
  <si>
    <t>Annualized return on assets</t>
  </si>
  <si>
    <t>Annualized earnings per share</t>
  </si>
  <si>
    <t>Direct Cash Flow Statement</t>
  </si>
  <si>
    <t>Types of cash payments from operating activities</t>
  </si>
  <si>
    <t>Resources from sales of other long-term assets</t>
  </si>
  <si>
    <t>Collections from related entities</t>
  </si>
  <si>
    <t>Cash flows from (used in) investing activities</t>
  </si>
  <si>
    <t>Loan Repayments</t>
  </si>
  <si>
    <t>Net increase (decrease) in cash and cash equivalents</t>
  </si>
  <si>
    <t>Cash and cash equivalents at the beginning of the period</t>
  </si>
  <si>
    <t>Cash and cash equivalents at the end of the period</t>
  </si>
  <si>
    <t>Tax expense</t>
  </si>
  <si>
    <t>Interconnections*</t>
  </si>
  <si>
    <t>Bonds</t>
  </si>
  <si>
    <t>Loans</t>
  </si>
  <si>
    <t>Amounts from sales of intangible assets</t>
  </si>
  <si>
    <t>Other non-financial liabilities</t>
  </si>
  <si>
    <t>Variation in</t>
  </si>
  <si>
    <t>Period</t>
  </si>
  <si>
    <t>Quarter</t>
  </si>
  <si>
    <t>(M$)</t>
  </si>
  <si>
    <t>Composition by instrument</t>
  </si>
  <si>
    <t>Composition by rates</t>
  </si>
  <si>
    <t>Other financial assets</t>
  </si>
  <si>
    <t>Rights receivable</t>
  </si>
  <si>
    <t>TOTAL ASSETS</t>
  </si>
  <si>
    <t>TOTAL NON-CURRENT LIABILITIES</t>
  </si>
  <si>
    <t>HERITAGE</t>
  </si>
  <si>
    <t xml:space="preserve"> TOTAL ASSETS</t>
  </si>
  <si>
    <t>TOTAL ASSETS AND LIABILITIES</t>
  </si>
  <si>
    <t>Profit before tax</t>
  </si>
  <si>
    <t>Gain from continuing operations</t>
  </si>
  <si>
    <t>Profit attributable to</t>
  </si>
  <si>
    <t xml:space="preserve"> Earnings per share</t>
  </si>
  <si>
    <t>Accumulated Results Water Segment</t>
  </si>
  <si>
    <t>Accumulated Results Non-Water Segment</t>
  </si>
  <si>
    <t>Net cash flow for the year</t>
  </si>
  <si>
    <t>Financial Debt M$</t>
  </si>
  <si>
    <t>Wastewater</t>
  </si>
  <si>
    <t>Other regulated income</t>
  </si>
  <si>
    <t>Unregulated income</t>
  </si>
  <si>
    <t>Operating costs and expenses</t>
  </si>
  <si>
    <t>Operating profit</t>
  </si>
  <si>
    <t>Wastewater collection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</si>
  <si>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</si>
  <si>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Segment revenues</t>
  </si>
  <si>
    <t>Other gains (losses)</t>
  </si>
  <si>
    <t>Cash Flow Statements (M$)</t>
  </si>
  <si>
    <t>Dividends: indicate payment in the last 12 months history</t>
  </si>
  <si>
    <t xml:space="preserve"> % Var.</t>
  </si>
  <si>
    <t>Lease liabilities</t>
  </si>
  <si>
    <t>NON-CURRENT ASSETS</t>
  </si>
  <si>
    <t>Total current liabilities other than liabilities included in disposal pools classified as held for sale</t>
  </si>
  <si>
    <t xml:space="preserve"> INCOME STATEMENTS BY NATURE</t>
  </si>
  <si>
    <t>Income from ordinary activities</t>
  </si>
  <si>
    <t>https://www.bolsadesantiago.com/#/cierre_bursatil</t>
  </si>
  <si>
    <t>Other (Losses) Gains</t>
  </si>
  <si>
    <t>Control</t>
  </si>
  <si>
    <t>TOTAL ASSETS</t>
  </si>
  <si>
    <t>Basic earnings per share from continuing operations ($)</t>
  </si>
  <si>
    <t>Amounts from sales of property, plant and equipment</t>
  </si>
  <si>
    <t>Right-of-use assets</t>
  </si>
  <si>
    <t>Lease liabilities</t>
  </si>
  <si>
    <t>Gains (losses) from operating activities</t>
  </si>
  <si>
    <t>Foreign currency exchange gains (losses)</t>
  </si>
  <si>
    <t>Thousands $</t>
  </si>
  <si>
    <t>Bond</t>
  </si>
  <si>
    <t>Lease liability</t>
  </si>
  <si>
    <t>Bank loans</t>
  </si>
  <si>
    <t>Reimbursable financial contributions</t>
  </si>
  <si>
    <t xml:space="preserve"> Total</t>
  </si>
  <si>
    <t>Variable bank loans</t>
  </si>
  <si>
    <t>Fixed rate bank loans</t>
  </si>
  <si>
    <t>Investments accounted for using the equity method</t>
  </si>
  <si>
    <t>Participation in profits (losses) of associates and joint ventures</t>
  </si>
  <si>
    <t>Gain (loss) from discontinued operations</t>
  </si>
  <si>
    <t>Cash flows from (used in) operations</t>
  </si>
  <si>
    <t>Cash flows from (used in) operating activities</t>
  </si>
  <si>
    <t>Amounts from loans, classified as financing activities</t>
  </si>
  <si>
    <t>Cash flows from (used in) financing activities</t>
  </si>
  <si>
    <t xml:space="preserve"> Increase (decrease) in cash and cash equivalents, before the effect of changes in the exchange rate</t>
  </si>
  <si>
    <t>&lt;(200%)</t>
  </si>
  <si>
    <t>Total other financial liabilities</t>
  </si>
  <si>
    <t>Total lease liabilities</t>
  </si>
  <si>
    <t>Other reservations</t>
  </si>
  <si>
    <t xml:space="preserve"> Impairment losses</t>
  </si>
  <si>
    <t>Impairment losses</t>
  </si>
  <si>
    <t xml:space="preserve"> sale of materials</t>
  </si>
  <si>
    <t>afr</t>
  </si>
  <si>
    <t>AFR payment</t>
  </si>
  <si>
    <t>bonus payment</t>
  </si>
  <si>
    <t xml:space="preserve"> rate increase on fixed-income instruments</t>
  </si>
  <si>
    <t>AR</t>
  </si>
  <si>
    <t xml:space="preserve"> Derivative</t>
  </si>
  <si>
    <t>Dec-22</t>
  </si>
  <si>
    <t xml:space="preserve"> EUR</t>
  </si>
  <si>
    <t xml:space="preserve"> Forward</t>
  </si>
  <si>
    <t>Depreciation and amortization expense</t>
  </si>
  <si>
    <t>Impairment gains and reversals of impairment losses (Impairment losses) determined in accordance with IFRS 9 on financial assets</t>
  </si>
  <si>
    <t>Financial costs</t>
  </si>
  <si>
    <t>Result by resettable units</t>
  </si>
  <si>
    <t>Income tax expenses</t>
  </si>
  <si>
    <t>Current tax assets</t>
  </si>
  <si>
    <t>Non-current assets held for sale</t>
  </si>
  <si>
    <t>Property, plant and equipment</t>
  </si>
  <si>
    <t>Deferred tax assets</t>
  </si>
  <si>
    <t>Trade accounts payable and other accounts payable</t>
  </si>
  <si>
    <t>Current provisions for employee benefits</t>
  </si>
  <si>
    <t>Liabilities included in disposal groups classified as held for sale</t>
  </si>
  <si>
    <t>Non-current provisions for employee benefits</t>
  </si>
  <si>
    <t>Accumulated profits (losses)</t>
  </si>
  <si>
    <t>Issue premiums</t>
  </si>
  <si>
    <t>Other non-current non-financial assets</t>
  </si>
  <si>
    <t>Other non-current financial assets</t>
  </si>
  <si>
    <t>Non-current accounts payable to related entities</t>
  </si>
  <si>
    <t>Other non-current financial liabilities</t>
  </si>
  <si>
    <t xml:space="preserve"> Other financial liabilities</t>
  </si>
  <si>
    <t>Non-current lease liabilities</t>
  </si>
  <si>
    <t>Other non-current non-financial liabilities</t>
  </si>
  <si>
    <t>Other non-current provisions</t>
  </si>
  <si>
    <t>Dec-23</t>
  </si>
  <si>
    <t>Dec 23 - Dec 22</t>
  </si>
  <si>
    <t xml:space="preserve"> Income taxes (paid)</t>
  </si>
  <si>
    <t>Dividends paid - operating activities</t>
  </si>
  <si>
    <t>Dividends received - operating activities</t>
  </si>
  <si>
    <t>Interest paid - operating activities</t>
  </si>
  <si>
    <t>Interest received - operating activities</t>
  </si>
  <si>
    <t>Other cash inflows (outflows) - operating activities</t>
  </si>
  <si>
    <t>Amounts from government subsidies - investment</t>
  </si>
  <si>
    <t>Income taxes refunded (paid) - investment</t>
  </si>
  <si>
    <t>Other cash inflows (outflows) - investment</t>
  </si>
  <si>
    <t>Effects of exchange rate changes on cash and cash equivalents.</t>
  </si>
  <si>
    <t>Payment month: Dec 23</t>
  </si>
  <si>
    <t>Minority interest</t>
  </si>
  <si>
    <t>Bonds/Derivatives</t>
  </si>
  <si>
    <t>Minority Interest</t>
  </si>
  <si>
    <t xml:space="preserve"> Dec. 23</t>
  </si>
  <si>
    <t>2024 / 2023</t>
  </si>
  <si>
    <t>Payment month: Mar 23</t>
  </si>
  <si>
    <t>Other investment projects</t>
  </si>
  <si>
    <t>Profit, attributable to non-controlling interests</t>
  </si>
  <si>
    <t>12-14-15</t>
  </si>
  <si>
    <t>24</t>
  </si>
  <si>
    <t>06-30-2024</t>
  </si>
  <si>
    <t>Exercise 2023</t>
  </si>
  <si>
    <t>Period June 2024 - June 2023</t>
  </si>
  <si>
    <t>Payment month: May 24</t>
  </si>
  <si>
    <t>Minority interest</t>
  </si>
  <si>
    <t>Financial aspects as of 30-06-2024</t>
  </si>
  <si>
    <t>Forward</t>
  </si>
  <si>
    <t>Biogenera S.A.</t>
  </si>
  <si>
    <t>Sep.24</t>
  </si>
  <si>
    <t>Sep.23</t>
  </si>
  <si>
    <t>3T24</t>
  </si>
  <si>
    <t>3T23</t>
  </si>
  <si>
    <t>01-07-2024 30-09-2024</t>
  </si>
  <si>
    <t>01-07-2023 30-09-2023</t>
  </si>
  <si>
    <t>Sep-24</t>
  </si>
  <si>
    <t>Sep-23</t>
  </si>
  <si>
    <t>Sep 24 - Sep 23</t>
  </si>
  <si>
    <t>Sep 2023 cumulative</t>
  </si>
  <si>
    <t>Sep 2024 cumulative</t>
  </si>
  <si>
    <t>Greater investment, higher payments to suppliers of goods and services</t>
  </si>
  <si>
    <t xml:space="preserve"> Payment of bonuses</t>
  </si>
  <si>
    <t>Lower advance secure payments</t>
  </si>
  <si>
    <t>Higher provision for bad debts, lower provision for accrued income, lower occasional sales</t>
  </si>
  <si>
    <t>Higher advance expenses</t>
  </si>
  <si>
    <t>Lower investment in intangible assets</t>
  </si>
  <si>
    <t>Increased investment in PPE</t>
  </si>
  <si>
    <t>Prepayment or settlement of bank loans, lower AFR</t>
  </si>
  <si>
    <t>Higher payments to suppliers of goods and services</t>
  </si>
  <si>
    <t>Lower VAT, PPM and other taxes</t>
  </si>
  <si>
    <t>Swiss Bond Placement</t>
  </si>
  <si>
    <t>Hydraulic efficiency plan</t>
  </si>
  <si>
    <t>Investments (Thousands $)</t>
  </si>
  <si>
    <t>Wastewater treatment and disposal</t>
  </si>
  <si>
    <t>3T24 – 3T23</t>
  </si>
  <si>
    <t>Ordinary revenue</t>
  </si>
  <si>
    <t>Other income</t>
  </si>
  <si>
    <t>Net income</t>
  </si>
  <si>
    <t>Potable water</t>
  </si>
  <si>
    <t xml:space="preserve"> Potable water</t>
  </si>
  <si>
    <t>Non-sanitation Services</t>
  </si>
  <si>
    <t>EcoRiles S.A.</t>
  </si>
  <si>
    <t>Hidrogística S.A.</t>
  </si>
  <si>
    <t>Non-regulated non-sanitation products</t>
  </si>
  <si>
    <t>Anam S.A.</t>
  </si>
  <si>
    <t>External revenues</t>
  </si>
  <si>
    <t>Income Statements (M$)</t>
  </si>
  <si>
    <t>Financial results*</t>
  </si>
  <si>
    <t>Financial Results*</t>
  </si>
  <si>
    <t>Equity attributable to the owners of the controller</t>
  </si>
  <si>
    <t>Water connections and meters</t>
  </si>
  <si>
    <t>Macro-metering plan for wells and tanks</t>
  </si>
  <si>
    <t>Sewer networks renewal</t>
  </si>
  <si>
    <t>Potable water networks renewal</t>
  </si>
  <si>
    <t>Water supply system drilling and reinforcement</t>
  </si>
  <si>
    <t>La Farfana-Trebal Mapocho biofactories' assets replacement</t>
  </si>
  <si>
    <t>Vizcachitas - Tagle filters renewal</t>
  </si>
  <si>
    <t>Padre Hurtado potable water treatment plant expansion</t>
  </si>
  <si>
    <t>Promissory notes</t>
  </si>
  <si>
    <t>Financial activities</t>
  </si>
  <si>
    <t>Final cash balance</t>
  </si>
  <si>
    <t>Operational Activities</t>
  </si>
  <si>
    <t>Return on equity attributable to owners of the controller, annualized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</si>
</sst>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4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.00\ _P_t_s_-;\-* #,##0.00\ _P_t_s_-;_-* &quot;-&quot;??\ _P_t_s_-;_-@_-"/>
    <numFmt numFmtId="169" formatCode="_-* #,##0_-;\-* #,##0_-;_-* &quot;-&quot;??_-;_-@_-"/>
    <numFmt numFmtId="170" formatCode="#,##0;[Red]\(#,##0\)"/>
    <numFmt numFmtId="171" formatCode="##,##0.00;[Red]\(##,##0.00\)"/>
    <numFmt numFmtId="172" formatCode="#,##0.000;[Red]\(#,##0.000\)"/>
    <numFmt numFmtId="173" formatCode="#,##0.00;[Red]\(#,##0.00\)"/>
    <numFmt numFmtId="174" formatCode="#,##0.00;[Red]#,##0.00"/>
    <numFmt numFmtId="175" formatCode="#,##0.0;[Red]\(#,##0.0\)"/>
    <numFmt numFmtId="176" formatCode="_-* #,##0\ _P_t_s_-;\-* #,##0\ _P_t_s_-;_-* &quot;-&quot;??\ _P_t_s_-;_-@_-"/>
    <numFmt numFmtId="177" formatCode="_-* #,##0.000_-;\-* #,##0.000_-;_-* &quot;-&quot;??_-;_-@_-"/>
    <numFmt numFmtId="178" formatCode="_-* #,##0.000000_-;\-* #,##0.000000_-;_-* &quot;-&quot;??????_-;_-@_-"/>
    <numFmt numFmtId="179" formatCode="_-* #,##0.0000_-;\-* #,##0.0000_-;_-* &quot;-&quot;??_-;_-@_-"/>
    <numFmt numFmtId="180" formatCode="_-* #,##0.000\ _P_t_s_-;\-* #,##0.000\ _P_t_s_-;_-* &quot;-&quot;??\ _P_t_s_-;_-@_-"/>
    <numFmt numFmtId="181" formatCode="_-* #,##0.0000\ _P_t_s_-;\-* #,##0.0000\ _P_t_s_-;_-* &quot;-&quot;??\ _P_t_s_-;_-@_-"/>
    <numFmt numFmtId="182" formatCode="0.00000"/>
    <numFmt numFmtId="183" formatCode="0.0000"/>
    <numFmt numFmtId="184" formatCode="0.000"/>
    <numFmt numFmtId="185" formatCode="_-* #,##0.000_-;\-* #,##0.000_-;_-* &quot;-&quot;???_-;_-@_-"/>
    <numFmt numFmtId="186" formatCode="##,##0;\(##,##0\)"/>
    <numFmt numFmtId="187" formatCode="0.0000%"/>
    <numFmt numFmtId="188" formatCode="0.0%"/>
    <numFmt numFmtId="189" formatCode="#,##0;\(\ #,##0\)"/>
    <numFmt numFmtId="190" formatCode="#,##0;\(\ \ #,##0\)"/>
    <numFmt numFmtId="191" formatCode="dd\-mm\-yyyy"/>
    <numFmt numFmtId="192" formatCode="d\-m\-yyyy"/>
    <numFmt numFmtId="193" formatCode="_-* #,##0.00\ &quot;DM&quot;_-;\-* #,##0.00\ &quot;DM&quot;_-;_-* &quot;-&quot;??\ &quot;DM&quot;_-;_-@_-"/>
    <numFmt numFmtId="194" formatCode="_-* #,##0.00\ [$€]_-;\-* #,##0.00\ [$€]_-;_-* &quot;-&quot;??\ [$€]_-;_-@_-"/>
    <numFmt numFmtId="195" formatCode="_-* #,##0\ _D_M_-;\-* #,##0\ _D_M_-;_-* &quot;-&quot;\ _D_M_-;_-@_-"/>
    <numFmt numFmtId="196" formatCode="_-* #,##0.00\ _D_M_-;\-* #,##0.00\ _D_M_-;_-* &quot;-&quot;??\ _D_M_-;_-@_-"/>
    <numFmt numFmtId="197" formatCode="_-* #,##0\ &quot;DM&quot;_-;\-* #,##0\ &quot;DM&quot;_-;_-* &quot;-&quot;\ &quot;DM&quot;_-;_-@_-"/>
    <numFmt numFmtId="198" formatCode="_(* #,##0_);_(* \(#,##0\);_(* &quot;-&quot;??_);_(@_)"/>
    <numFmt numFmtId="199" formatCode="#,##0.000"/>
    <numFmt numFmtId="200" formatCode="#,##0_ ;\-#,##0\ "/>
    <numFmt numFmtId="201" formatCode="#,##0\ ;\(#,##0\);\-\ ;"/>
    <numFmt numFmtId="202" formatCode="0.0%_);\(0.0%\)"/>
    <numFmt numFmtId="203" formatCode="#,##0;\(#,##0\);\-"/>
    <numFmt numFmtId="204" formatCode="#,##0.000;\(#,##0.000\);\-"/>
    <numFmt numFmtId="205" formatCode="#,##0.0"/>
    <numFmt numFmtId="206" formatCode="0.000000%"/>
  </numFmts>
  <fonts count="1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</font>
    <font>
      <b/>
      <sz val="10"/>
      <name val="Cambria"/>
      <family val="2"/>
      <scheme val="major"/>
    </font>
    <font>
      <b/>
      <sz val="10"/>
      <name val="Calibri"/>
      <family val="2"/>
    </font>
    <font>
      <sz val="9"/>
      <name val="Cambria"/>
      <family val="2"/>
      <scheme val="major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2060"/>
      </left>
      <right style="medium">
        <color rgb="FF002060"/>
      </right>
      <top/>
      <bottom style="medium">
        <color indexed="64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thin">
        <color indexed="23"/>
      </left>
      <right style="medium">
        <color indexed="55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</borders>
  <cellStyleXfs count="170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9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0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1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12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7" fillId="3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9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6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7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15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7" fillId="7" borderId="0" applyNumberFormat="0" applyBorder="0" applyAlignment="0" applyProtection="0"/>
    <xf numFmtId="0" fontId="62" fillId="85" borderId="0" applyNumberFormat="0" applyBorder="0" applyAlignment="0" applyProtection="0"/>
    <xf numFmtId="0" fontId="63" fillId="85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6" borderId="0" applyNumberFormat="0" applyBorder="0" applyAlignment="0" applyProtection="0"/>
    <xf numFmtId="0" fontId="8" fillId="9" borderId="0" applyNumberFormat="0" applyBorder="0" applyAlignment="0" applyProtection="0"/>
    <xf numFmtId="0" fontId="64" fillId="87" borderId="0" applyNumberFormat="0" applyBorder="0" applyAlignment="0" applyProtection="0"/>
    <xf numFmtId="0" fontId="8" fillId="16" borderId="0" applyNumberFormat="0" applyBorder="0" applyAlignment="0" applyProtection="0"/>
    <xf numFmtId="0" fontId="64" fillId="88" borderId="0" applyNumberFormat="0" applyBorder="0" applyAlignment="0" applyProtection="0"/>
    <xf numFmtId="0" fontId="8" fillId="17" borderId="0" applyNumberFormat="0" applyBorder="0" applyAlignment="0" applyProtection="0"/>
    <xf numFmtId="0" fontId="64" fillId="89" borderId="0" applyNumberFormat="0" applyBorder="0" applyAlignment="0" applyProtection="0"/>
    <xf numFmtId="0" fontId="8" fillId="15" borderId="0" applyNumberFormat="0" applyBorder="0" applyAlignment="0" applyProtection="0"/>
    <xf numFmtId="0" fontId="64" fillId="90" borderId="0" applyNumberFormat="0" applyBorder="0" applyAlignment="0" applyProtection="0"/>
    <xf numFmtId="0" fontId="8" fillId="7" borderId="0" applyNumberFormat="0" applyBorder="0" applyAlignment="0" applyProtection="0"/>
    <xf numFmtId="0" fontId="64" fillId="91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94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6" fontId="3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" fillId="0" borderId="0" applyFont="0" applyFill="0" applyBorder="0" applyAlignment="0" applyProtection="0"/>
    <xf numFmtId="197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2" borderId="26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5" fillId="0" borderId="0"/>
    <xf numFmtId="164" fontId="2" fillId="0" borderId="0" applyFont="0" applyFill="0" applyBorder="0" applyAlignment="0" applyProtection="0"/>
    <xf numFmtId="41" fontId="8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477">
    <xf numFmtId="0" fontId="0" fillId="0" borderId="0" xfId="0"/>
    <xf numFmtId="3" fontId="70" fillId="0" borderId="0" xfId="0" applyNumberFormat="1" applyFont="1"/>
    <xf numFmtId="0" fontId="71" fillId="0" borderId="65" xfId="0" applyFont="1" applyBorder="1" applyAlignment="1">
      <alignment vertical="center"/>
    </xf>
    <xf numFmtId="0" fontId="72" fillId="0" borderId="40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37" xfId="0" applyFont="1" applyBorder="1" applyAlignment="1">
      <alignment horizontal="center" vertical="center"/>
    </xf>
    <xf numFmtId="0" fontId="73" fillId="0" borderId="0" xfId="0" applyFont="1"/>
    <xf numFmtId="201" fontId="72" fillId="0" borderId="0" xfId="0" applyNumberFormat="1" applyFont="1" applyAlignment="1">
      <alignment horizontal="right" vertical="center"/>
    </xf>
    <xf numFmtId="202" fontId="72" fillId="0" borderId="0" xfId="0" applyNumberFormat="1" applyFont="1" applyAlignment="1">
      <alignment horizontal="right" vertical="center"/>
    </xf>
    <xf numFmtId="201" fontId="71" fillId="0" borderId="0" xfId="0" applyNumberFormat="1" applyFont="1" applyAlignment="1">
      <alignment horizontal="right" vertical="center"/>
    </xf>
    <xf numFmtId="202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0" fontId="71" fillId="0" borderId="37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3" fontId="73" fillId="0" borderId="0" xfId="0" applyNumberFormat="1" applyFont="1"/>
    <xf numFmtId="3" fontId="72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73" fillId="0" borderId="0" xfId="0" applyFont="1" applyAlignment="1">
      <alignment horizontal="left"/>
    </xf>
    <xf numFmtId="201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201" fontId="74" fillId="0" borderId="0" xfId="0" applyNumberFormat="1" applyFont="1"/>
    <xf numFmtId="0" fontId="75" fillId="0" borderId="0" xfId="1698" applyFont="1" applyAlignment="1">
      <alignment horizontal="left" indent="2"/>
    </xf>
    <xf numFmtId="0" fontId="73" fillId="0" borderId="0" xfId="1698" applyFont="1"/>
    <xf numFmtId="0" fontId="73" fillId="0" borderId="0" xfId="1698" applyFont="1" applyAlignment="1">
      <alignment vertical="center"/>
    </xf>
    <xf numFmtId="3" fontId="73" fillId="0" borderId="0" xfId="1698" applyNumberFormat="1" applyFont="1" applyAlignment="1">
      <alignment vertical="center"/>
    </xf>
    <xf numFmtId="0" fontId="71" fillId="0" borderId="0" xfId="0" applyFont="1" applyAlignment="1">
      <alignment horizontal="center"/>
    </xf>
    <xf numFmtId="0" fontId="71" fillId="0" borderId="37" xfId="0" applyFont="1" applyBorder="1" applyAlignment="1">
      <alignment horizontal="left"/>
    </xf>
    <xf numFmtId="0" fontId="71" fillId="0" borderId="37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37" xfId="0" applyFont="1" applyBorder="1" applyAlignment="1">
      <alignment horizontal="center" vertical="center"/>
    </xf>
    <xf numFmtId="0" fontId="71" fillId="0" borderId="40" xfId="0" applyFont="1" applyBorder="1" applyAlignment="1">
      <alignment vertical="center"/>
    </xf>
    <xf numFmtId="0" fontId="82" fillId="0" borderId="0" xfId="0" applyFont="1"/>
    <xf numFmtId="3" fontId="82" fillId="0" borderId="0" xfId="0" applyNumberFormat="1" applyFont="1"/>
    <xf numFmtId="9" fontId="73" fillId="0" borderId="0" xfId="950" applyFont="1"/>
    <xf numFmtId="9" fontId="74" fillId="0" borderId="0" xfId="950" applyFont="1"/>
    <xf numFmtId="202" fontId="72" fillId="0" borderId="0" xfId="0" applyNumberFormat="1" applyFont="1" applyAlignment="1">
      <alignment horizontal="center" vertical="center"/>
    </xf>
    <xf numFmtId="0" fontId="71" fillId="0" borderId="37" xfId="0" applyFont="1" applyBorder="1"/>
    <xf numFmtId="186" fontId="72" fillId="0" borderId="0" xfId="0" applyNumberFormat="1" applyFont="1"/>
    <xf numFmtId="0" fontId="72" fillId="0" borderId="0" xfId="0" applyFont="1" applyAlignment="1">
      <alignment vertical="center" wrapText="1"/>
    </xf>
    <xf numFmtId="0" fontId="80" fillId="0" borderId="65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14" fontId="86" fillId="73" borderId="51" xfId="904" applyNumberFormat="1" applyFont="1" applyFill="1" applyBorder="1" applyAlignment="1">
      <alignment horizontal="center" vertical="center"/>
    </xf>
    <xf numFmtId="14" fontId="86" fillId="73" borderId="52" xfId="904" applyNumberFormat="1" applyFont="1" applyFill="1" applyBorder="1" applyAlignment="1">
      <alignment horizontal="center" vertical="center"/>
    </xf>
    <xf numFmtId="203" fontId="86" fillId="73" borderId="57" xfId="904" applyNumberFormat="1" applyFont="1" applyFill="1" applyBorder="1" applyAlignment="1">
      <alignment horizontal="center" vertical="top"/>
    </xf>
    <xf numFmtId="203" fontId="87" fillId="0" borderId="1" xfId="904" quotePrefix="1" applyNumberFormat="1" applyFont="1" applyBorder="1" applyAlignment="1">
      <alignment horizontal="center" vertical="center"/>
    </xf>
    <xf numFmtId="203" fontId="87" fillId="0" borderId="1" xfId="904" applyNumberFormat="1" applyFont="1" applyBorder="1" applyAlignment="1">
      <alignment vertical="center"/>
    </xf>
    <xf numFmtId="203" fontId="87" fillId="0" borderId="47" xfId="904" applyNumberFormat="1" applyFont="1" applyBorder="1" applyAlignment="1">
      <alignment vertical="center"/>
    </xf>
    <xf numFmtId="203" fontId="87" fillId="0" borderId="1" xfId="904" applyNumberFormat="1" applyFont="1" applyBorder="1" applyAlignment="1">
      <alignment horizontal="center" vertical="center"/>
    </xf>
    <xf numFmtId="203" fontId="86" fillId="73" borderId="56" xfId="904" applyNumberFormat="1" applyFont="1" applyFill="1" applyBorder="1" applyAlignment="1">
      <alignment horizontal="left" vertical="center" wrapText="1"/>
    </xf>
    <xf numFmtId="203" fontId="86" fillId="96" borderId="56" xfId="904" applyNumberFormat="1" applyFont="1" applyFill="1" applyBorder="1" applyAlignment="1">
      <alignment horizontal="left" vertical="center"/>
    </xf>
    <xf numFmtId="203" fontId="86" fillId="0" borderId="1" xfId="904" applyNumberFormat="1" applyFont="1" applyBorder="1" applyAlignment="1">
      <alignment horizontal="center" vertical="center"/>
    </xf>
    <xf numFmtId="203" fontId="86" fillId="73" borderId="48" xfId="904" applyNumberFormat="1" applyFont="1" applyFill="1" applyBorder="1" applyAlignment="1">
      <alignment horizontal="center" vertical="center"/>
    </xf>
    <xf numFmtId="203" fontId="86" fillId="0" borderId="60" xfId="904" applyNumberFormat="1" applyFont="1" applyBorder="1" applyAlignment="1">
      <alignment vertical="center"/>
    </xf>
    <xf numFmtId="203" fontId="87" fillId="0" borderId="56" xfId="904" applyNumberFormat="1" applyFont="1" applyBorder="1" applyAlignment="1">
      <alignment horizontal="left" vertical="center"/>
    </xf>
    <xf numFmtId="203" fontId="87" fillId="73" borderId="1" xfId="904" applyNumberFormat="1" applyFont="1" applyFill="1" applyBorder="1" applyAlignment="1">
      <alignment horizontal="center" vertical="center"/>
    </xf>
    <xf numFmtId="203" fontId="87" fillId="0" borderId="56" xfId="904" applyNumberFormat="1" applyFont="1" applyBorder="1" applyAlignment="1">
      <alignment vertical="center"/>
    </xf>
    <xf numFmtId="49" fontId="87" fillId="0" borderId="1" xfId="904" applyNumberFormat="1" applyFont="1" applyBorder="1" applyAlignment="1">
      <alignment horizontal="center" vertical="center"/>
    </xf>
    <xf numFmtId="0" fontId="87" fillId="0" borderId="56" xfId="904" applyFont="1" applyBorder="1" applyAlignment="1">
      <alignment vertical="center"/>
    </xf>
    <xf numFmtId="3" fontId="87" fillId="0" borderId="1" xfId="904" applyNumberFormat="1" applyFont="1" applyBorder="1" applyAlignment="1">
      <alignment vertical="center"/>
    </xf>
    <xf numFmtId="0" fontId="86" fillId="73" borderId="56" xfId="904" applyFont="1" applyFill="1" applyBorder="1" applyAlignment="1">
      <alignment vertical="center"/>
    </xf>
    <xf numFmtId="0" fontId="86" fillId="73" borderId="1" xfId="904" applyFont="1" applyFill="1" applyBorder="1" applyAlignment="1">
      <alignment horizontal="center" vertical="center"/>
    </xf>
    <xf numFmtId="3" fontId="86" fillId="73" borderId="1" xfId="904" applyNumberFormat="1" applyFont="1" applyFill="1" applyBorder="1" applyAlignment="1">
      <alignment vertical="center"/>
    </xf>
    <xf numFmtId="0" fontId="86" fillId="73" borderId="1" xfId="904" applyFont="1" applyFill="1" applyBorder="1" applyAlignment="1">
      <alignment horizontal="left" vertical="center" indent="3"/>
    </xf>
    <xf numFmtId="0" fontId="87" fillId="0" borderId="1" xfId="904" applyFont="1" applyBorder="1" applyAlignment="1">
      <alignment horizontal="center" vertical="center"/>
    </xf>
    <xf numFmtId="0" fontId="86" fillId="0" borderId="56" xfId="904" applyFont="1" applyBorder="1" applyAlignment="1">
      <alignment vertical="center" wrapText="1"/>
    </xf>
    <xf numFmtId="0" fontId="87" fillId="0" borderId="1" xfId="904" applyFont="1" applyBorder="1" applyAlignment="1">
      <alignment horizontal="left" vertical="center" indent="3"/>
    </xf>
    <xf numFmtId="3" fontId="87" fillId="0" borderId="1" xfId="904" applyNumberFormat="1" applyFont="1" applyBorder="1" applyAlignment="1">
      <alignment horizontal="center" vertical="center"/>
    </xf>
    <xf numFmtId="0" fontId="86" fillId="73" borderId="56" xfId="904" applyFont="1" applyFill="1" applyBorder="1" applyAlignment="1">
      <alignment vertical="center" wrapText="1"/>
    </xf>
    <xf numFmtId="3" fontId="86" fillId="98" borderId="1" xfId="904" applyNumberFormat="1" applyFont="1" applyFill="1" applyBorder="1" applyAlignment="1">
      <alignment vertical="center"/>
    </xf>
    <xf numFmtId="0" fontId="86" fillId="98" borderId="56" xfId="904" applyFont="1" applyFill="1" applyBorder="1" applyAlignment="1">
      <alignment vertical="center"/>
    </xf>
    <xf numFmtId="0" fontId="86" fillId="98" borderId="1" xfId="904" applyFont="1" applyFill="1" applyBorder="1" applyAlignment="1">
      <alignment horizontal="left" vertical="center" indent="3"/>
    </xf>
    <xf numFmtId="0" fontId="86" fillId="0" borderId="56" xfId="904" applyFont="1" applyBorder="1" applyAlignment="1">
      <alignment vertical="center"/>
    </xf>
    <xf numFmtId="3" fontId="87" fillId="0" borderId="0" xfId="904" applyNumberFormat="1" applyFont="1"/>
    <xf numFmtId="0" fontId="87" fillId="0" borderId="0" xfId="904" applyFont="1"/>
    <xf numFmtId="0" fontId="86" fillId="73" borderId="59" xfId="904" applyFont="1" applyFill="1" applyBorder="1" applyAlignment="1">
      <alignment vertical="center"/>
    </xf>
    <xf numFmtId="0" fontId="87" fillId="73" borderId="48" xfId="904" applyFont="1" applyFill="1" applyBorder="1" applyAlignment="1">
      <alignment horizontal="center" vertical="center"/>
    </xf>
    <xf numFmtId="199" fontId="86" fillId="73" borderId="48" xfId="904" applyNumberFormat="1" applyFont="1" applyFill="1" applyBorder="1" applyAlignment="1">
      <alignment vertical="center"/>
    </xf>
    <xf numFmtId="203" fontId="87" fillId="0" borderId="42" xfId="0" applyNumberFormat="1" applyFont="1" applyBorder="1" applyAlignment="1">
      <alignment horizontal="left" vertical="center" wrapText="1"/>
    </xf>
    <xf numFmtId="203" fontId="87" fillId="0" borderId="43" xfId="0" applyNumberFormat="1" applyFont="1" applyBorder="1" applyAlignment="1">
      <alignment horizontal="center" vertical="center" wrapText="1"/>
    </xf>
    <xf numFmtId="203" fontId="86" fillId="0" borderId="42" xfId="0" applyNumberFormat="1" applyFont="1" applyBorder="1" applyAlignment="1">
      <alignment horizontal="left" vertical="center" wrapText="1"/>
    </xf>
    <xf numFmtId="203" fontId="86" fillId="0" borderId="43" xfId="0" applyNumberFormat="1" applyFont="1" applyBorder="1" applyAlignment="1">
      <alignment horizontal="center" vertical="center" wrapText="1"/>
    </xf>
    <xf numFmtId="0" fontId="87" fillId="0" borderId="0" xfId="903" applyFont="1"/>
    <xf numFmtId="0" fontId="87" fillId="0" borderId="0" xfId="0" applyFont="1"/>
    <xf numFmtId="0" fontId="86" fillId="97" borderId="41" xfId="0" applyFont="1" applyFill="1" applyBorder="1" applyAlignment="1">
      <alignment horizontal="center" vertical="center"/>
    </xf>
    <xf numFmtId="0" fontId="86" fillId="97" borderId="46" xfId="0" applyFont="1" applyFill="1" applyBorder="1" applyAlignment="1">
      <alignment horizontal="center" vertical="center"/>
    </xf>
    <xf numFmtId="0" fontId="87" fillId="0" borderId="43" xfId="0" applyFont="1" applyBorder="1" applyAlignment="1">
      <alignment horizontal="center" vertical="center" wrapText="1"/>
    </xf>
    <xf numFmtId="3" fontId="87" fillId="0" borderId="0" xfId="0" applyNumberFormat="1" applyFont="1" applyAlignment="1">
      <alignment wrapText="1"/>
    </xf>
    <xf numFmtId="0" fontId="87" fillId="0" borderId="0" xfId="0" applyFont="1" applyAlignment="1">
      <alignment wrapText="1"/>
    </xf>
    <xf numFmtId="0" fontId="87" fillId="0" borderId="42" xfId="0" applyFont="1" applyBorder="1" applyAlignment="1">
      <alignment horizontal="left" vertical="center" wrapText="1"/>
    </xf>
    <xf numFmtId="0" fontId="86" fillId="96" borderId="42" xfId="0" applyFont="1" applyFill="1" applyBorder="1" applyAlignment="1">
      <alignment horizontal="left" vertical="center" wrapText="1"/>
    </xf>
    <xf numFmtId="0" fontId="87" fillId="96" borderId="43" xfId="0" applyFont="1" applyFill="1" applyBorder="1" applyAlignment="1">
      <alignment horizontal="center" vertical="center" wrapText="1"/>
    </xf>
    <xf numFmtId="0" fontId="86" fillId="96" borderId="43" xfId="0" applyFont="1" applyFill="1" applyBorder="1" applyAlignment="1">
      <alignment horizontal="center" vertical="center" wrapText="1"/>
    </xf>
    <xf numFmtId="0" fontId="86" fillId="96" borderId="42" xfId="0" applyFont="1" applyFill="1" applyBorder="1" applyAlignment="1">
      <alignment vertical="center" wrapText="1"/>
    </xf>
    <xf numFmtId="0" fontId="87" fillId="96" borderId="42" xfId="0" applyFont="1" applyFill="1" applyBorder="1" applyAlignment="1">
      <alignment horizontal="left" vertical="center" wrapText="1"/>
    </xf>
    <xf numFmtId="3" fontId="69" fillId="0" borderId="0" xfId="0" applyNumberFormat="1" applyFont="1" applyAlignment="1">
      <alignment wrapText="1"/>
    </xf>
    <xf numFmtId="0" fontId="86" fillId="96" borderId="53" xfId="0" applyFont="1" applyFill="1" applyBorder="1" applyAlignment="1">
      <alignment horizontal="left" vertical="center" wrapText="1"/>
    </xf>
    <xf numFmtId="0" fontId="86" fillId="96" borderId="50" xfId="0" applyFont="1" applyFill="1" applyBorder="1" applyAlignment="1">
      <alignment horizontal="center" vertical="center" wrapText="1"/>
    </xf>
    <xf numFmtId="0" fontId="87" fillId="0" borderId="0" xfId="903" applyFont="1" applyAlignment="1">
      <alignment horizontal="center"/>
    </xf>
    <xf numFmtId="0" fontId="86" fillId="0" borderId="0" xfId="904" applyFont="1"/>
    <xf numFmtId="3" fontId="87" fillId="0" borderId="0" xfId="903" applyNumberFormat="1" applyFont="1"/>
    <xf numFmtId="191" fontId="86" fillId="0" borderId="0" xfId="904" applyNumberFormat="1" applyFont="1" applyAlignment="1">
      <alignment horizontal="center" vertical="center"/>
    </xf>
    <xf numFmtId="0" fontId="87" fillId="0" borderId="0" xfId="904" applyFont="1" applyAlignment="1">
      <alignment vertical="center"/>
    </xf>
    <xf numFmtId="3" fontId="87" fillId="0" borderId="0" xfId="904" applyNumberFormat="1" applyFont="1" applyAlignment="1">
      <alignment vertical="center"/>
    </xf>
    <xf numFmtId="3" fontId="86" fillId="0" borderId="0" xfId="904" applyNumberFormat="1" applyFont="1" applyAlignment="1">
      <alignment vertical="center"/>
    </xf>
    <xf numFmtId="3" fontId="86" fillId="0" borderId="0" xfId="904" applyNumberFormat="1" applyFont="1" applyAlignment="1">
      <alignment horizontal="right" vertical="center"/>
    </xf>
    <xf numFmtId="3" fontId="87" fillId="0" borderId="0" xfId="0" applyNumberFormat="1" applyFont="1" applyAlignment="1">
      <alignment vertical="center"/>
    </xf>
    <xf numFmtId="0" fontId="91" fillId="0" borderId="0" xfId="0" applyFont="1"/>
    <xf numFmtId="0" fontId="92" fillId="0" borderId="0" xfId="0" applyFont="1"/>
    <xf numFmtId="0" fontId="93" fillId="0" borderId="0" xfId="0" applyFont="1"/>
    <xf numFmtId="184" fontId="92" fillId="0" borderId="0" xfId="0" applyNumberFormat="1" applyFont="1"/>
    <xf numFmtId="178" fontId="92" fillId="0" borderId="0" xfId="0" applyNumberFormat="1" applyFont="1"/>
    <xf numFmtId="170" fontId="92" fillId="0" borderId="0" xfId="0" applyNumberFormat="1" applyFont="1"/>
    <xf numFmtId="169" fontId="92" fillId="0" borderId="0" xfId="836" quotePrefix="1" applyNumberFormat="1" applyFont="1" applyBorder="1" applyAlignment="1">
      <alignment horizontal="center"/>
    </xf>
    <xf numFmtId="0" fontId="94" fillId="93" borderId="27" xfId="0" applyFont="1" applyFill="1" applyBorder="1"/>
    <xf numFmtId="0" fontId="95" fillId="93" borderId="28" xfId="0" applyFont="1" applyFill="1" applyBorder="1"/>
    <xf numFmtId="49" fontId="94" fillId="93" borderId="28" xfId="836" applyNumberFormat="1" applyFont="1" applyFill="1" applyBorder="1" applyAlignment="1">
      <alignment horizontal="center"/>
    </xf>
    <xf numFmtId="169" fontId="91" fillId="0" borderId="0" xfId="836" quotePrefix="1" applyNumberFormat="1" applyFont="1" applyFill="1" applyAlignment="1">
      <alignment horizontal="center"/>
    </xf>
    <xf numFmtId="169" fontId="91" fillId="0" borderId="0" xfId="836" quotePrefix="1" applyNumberFormat="1" applyFont="1" applyFill="1" applyBorder="1" applyAlignment="1">
      <alignment horizontal="center"/>
    </xf>
    <xf numFmtId="0" fontId="92" fillId="0" borderId="0" xfId="0" applyFont="1" applyAlignment="1">
      <alignment horizontal="center"/>
    </xf>
    <xf numFmtId="14" fontId="92" fillId="0" borderId="0" xfId="0" applyNumberFormat="1" applyFont="1" applyAlignment="1">
      <alignment horizontal="center"/>
    </xf>
    <xf numFmtId="0" fontId="91" fillId="0" borderId="30" xfId="0" applyFont="1" applyBorder="1"/>
    <xf numFmtId="0" fontId="92" fillId="0" borderId="31" xfId="0" applyFont="1" applyBorder="1"/>
    <xf numFmtId="0" fontId="92" fillId="0" borderId="63" xfId="0" applyFont="1" applyBorder="1"/>
    <xf numFmtId="0" fontId="92" fillId="0" borderId="32" xfId="0" applyFont="1" applyBorder="1"/>
    <xf numFmtId="0" fontId="91" fillId="0" borderId="24" xfId="0" applyFont="1" applyBorder="1"/>
    <xf numFmtId="183" fontId="93" fillId="0" borderId="0" xfId="0" applyNumberFormat="1" applyFont="1"/>
    <xf numFmtId="0" fontId="92" fillId="0" borderId="30" xfId="0" applyFont="1" applyBorder="1"/>
    <xf numFmtId="0" fontId="92" fillId="0" borderId="31" xfId="0" applyFont="1" applyBorder="1" applyAlignment="1">
      <alignment horizontal="center"/>
    </xf>
    <xf numFmtId="169" fontId="92" fillId="0" borderId="31" xfId="836" applyNumberFormat="1" applyFont="1" applyBorder="1"/>
    <xf numFmtId="169" fontId="92" fillId="0" borderId="63" xfId="836" applyNumberFormat="1" applyFont="1" applyBorder="1"/>
    <xf numFmtId="169" fontId="92" fillId="0" borderId="32" xfId="836" applyNumberFormat="1" applyFont="1" applyBorder="1"/>
    <xf numFmtId="179" fontId="92" fillId="0" borderId="0" xfId="836" applyNumberFormat="1" applyFont="1"/>
    <xf numFmtId="0" fontId="92" fillId="0" borderId="25" xfId="0" applyFont="1" applyBorder="1"/>
    <xf numFmtId="170" fontId="92" fillId="0" borderId="25" xfId="0" applyNumberFormat="1" applyFont="1" applyBorder="1"/>
    <xf numFmtId="2" fontId="96" fillId="0" borderId="0" xfId="0" applyNumberFormat="1" applyFont="1"/>
    <xf numFmtId="2" fontId="91" fillId="0" borderId="0" xfId="0" applyNumberFormat="1" applyFont="1"/>
    <xf numFmtId="188" fontId="92" fillId="0" borderId="0" xfId="950" applyNumberFormat="1" applyFont="1"/>
    <xf numFmtId="188" fontId="93" fillId="0" borderId="0" xfId="950" applyNumberFormat="1" applyFont="1" applyFill="1" applyBorder="1"/>
    <xf numFmtId="0" fontId="94" fillId="93" borderId="30" xfId="0" applyFont="1" applyFill="1" applyBorder="1"/>
    <xf numFmtId="0" fontId="95" fillId="93" borderId="31" xfId="0" applyFont="1" applyFill="1" applyBorder="1"/>
    <xf numFmtId="169" fontId="94" fillId="93" borderId="31" xfId="836" applyNumberFormat="1" applyFont="1" applyFill="1" applyBorder="1"/>
    <xf numFmtId="169" fontId="94" fillId="93" borderId="63" xfId="836" applyNumberFormat="1" applyFont="1" applyFill="1" applyBorder="1"/>
    <xf numFmtId="169" fontId="94" fillId="93" borderId="32" xfId="836" applyNumberFormat="1" applyFont="1" applyFill="1" applyBorder="1"/>
    <xf numFmtId="169" fontId="92" fillId="0" borderId="0" xfId="836" applyNumberFormat="1" applyFont="1"/>
    <xf numFmtId="169" fontId="91" fillId="0" borderId="0" xfId="836" applyNumberFormat="1" applyFont="1"/>
    <xf numFmtId="2" fontId="92" fillId="0" borderId="0" xfId="0" applyNumberFormat="1" applyFont="1"/>
    <xf numFmtId="0" fontId="94" fillId="93" borderId="33" xfId="0" applyFont="1" applyFill="1" applyBorder="1"/>
    <xf numFmtId="0" fontId="95" fillId="93" borderId="34" xfId="0" applyFont="1" applyFill="1" applyBorder="1"/>
    <xf numFmtId="169" fontId="94" fillId="93" borderId="34" xfId="836" applyNumberFormat="1" applyFont="1" applyFill="1" applyBorder="1"/>
    <xf numFmtId="169" fontId="94" fillId="93" borderId="64" xfId="836" applyNumberFormat="1" applyFont="1" applyFill="1" applyBorder="1"/>
    <xf numFmtId="169" fontId="94" fillId="93" borderId="35" xfId="836" applyNumberFormat="1" applyFont="1" applyFill="1" applyBorder="1"/>
    <xf numFmtId="2" fontId="96" fillId="0" borderId="0" xfId="950" applyNumberFormat="1" applyFont="1" applyFill="1"/>
    <xf numFmtId="10" fontId="91" fillId="0" borderId="0" xfId="0" applyNumberFormat="1" applyFont="1"/>
    <xf numFmtId="0" fontId="92" fillId="0" borderId="36" xfId="0" applyFont="1" applyBorder="1"/>
    <xf numFmtId="200" fontId="70" fillId="0" borderId="0" xfId="836" applyNumberFormat="1" applyFont="1" applyBorder="1"/>
    <xf numFmtId="49" fontId="94" fillId="93" borderId="28" xfId="836" quotePrefix="1" applyNumberFormat="1" applyFont="1" applyFill="1" applyBorder="1" applyAlignment="1">
      <alignment horizontal="center"/>
    </xf>
    <xf numFmtId="0" fontId="91" fillId="0" borderId="31" xfId="0" applyFont="1" applyBorder="1" applyAlignment="1">
      <alignment horizontal="center"/>
    </xf>
    <xf numFmtId="186" fontId="92" fillId="0" borderId="31" xfId="836" applyNumberFormat="1" applyFont="1" applyFill="1" applyBorder="1"/>
    <xf numFmtId="186" fontId="92" fillId="0" borderId="32" xfId="836" applyNumberFormat="1" applyFont="1" applyFill="1" applyBorder="1"/>
    <xf numFmtId="0" fontId="97" fillId="0" borderId="0" xfId="0" applyFont="1"/>
    <xf numFmtId="169" fontId="93" fillId="0" borderId="0" xfId="0" applyNumberFormat="1" applyFont="1"/>
    <xf numFmtId="186" fontId="91" fillId="0" borderId="31" xfId="836" applyNumberFormat="1" applyFont="1" applyFill="1" applyBorder="1"/>
    <xf numFmtId="186" fontId="91" fillId="0" borderId="32" xfId="836" applyNumberFormat="1" applyFont="1" applyFill="1" applyBorder="1"/>
    <xf numFmtId="176" fontId="93" fillId="0" borderId="0" xfId="836" applyNumberFormat="1" applyFont="1" applyFill="1" applyBorder="1"/>
    <xf numFmtId="171" fontId="91" fillId="0" borderId="0" xfId="0" applyNumberFormat="1" applyFont="1"/>
    <xf numFmtId="173" fontId="92" fillId="0" borderId="0" xfId="0" applyNumberFormat="1" applyFont="1"/>
    <xf numFmtId="188" fontId="92" fillId="0" borderId="0" xfId="950" applyNumberFormat="1" applyFont="1" applyFill="1" applyBorder="1"/>
    <xf numFmtId="0" fontId="92" fillId="0" borderId="33" xfId="0" applyFont="1" applyBorder="1"/>
    <xf numFmtId="0" fontId="92" fillId="0" borderId="34" xfId="0" applyFont="1" applyBorder="1" applyAlignment="1">
      <alignment horizontal="center"/>
    </xf>
    <xf numFmtId="186" fontId="92" fillId="0" borderId="34" xfId="836" applyNumberFormat="1" applyFont="1" applyFill="1" applyBorder="1"/>
    <xf numFmtId="186" fontId="92" fillId="0" borderId="44" xfId="836" applyNumberFormat="1" applyFont="1" applyFill="1" applyBorder="1"/>
    <xf numFmtId="0" fontId="98" fillId="0" borderId="24" xfId="0" applyFont="1" applyBorder="1"/>
    <xf numFmtId="0" fontId="99" fillId="0" borderId="0" xfId="0" applyFont="1"/>
    <xf numFmtId="170" fontId="99" fillId="0" borderId="0" xfId="0" applyNumberFormat="1" applyFont="1"/>
    <xf numFmtId="169" fontId="99" fillId="0" borderId="0" xfId="836" applyNumberFormat="1" applyFont="1"/>
    <xf numFmtId="186" fontId="92" fillId="0" borderId="0" xfId="836" applyNumberFormat="1" applyFont="1" applyBorder="1"/>
    <xf numFmtId="188" fontId="92" fillId="0" borderId="0" xfId="950" applyNumberFormat="1" applyFont="1" applyBorder="1"/>
    <xf numFmtId="189" fontId="99" fillId="0" borderId="0" xfId="0" applyNumberFormat="1" applyFont="1"/>
    <xf numFmtId="176" fontId="92" fillId="0" borderId="0" xfId="836" applyNumberFormat="1" applyFont="1"/>
    <xf numFmtId="186" fontId="92" fillId="0" borderId="31" xfId="836" applyNumberFormat="1" applyFont="1" applyBorder="1"/>
    <xf numFmtId="186" fontId="92" fillId="0" borderId="32" xfId="836" applyNumberFormat="1" applyFont="1" applyBorder="1"/>
    <xf numFmtId="182" fontId="92" fillId="0" borderId="0" xfId="0" applyNumberFormat="1" applyFont="1"/>
    <xf numFmtId="187" fontId="92" fillId="0" borderId="0" xfId="950" applyNumberFormat="1" applyFont="1"/>
    <xf numFmtId="174" fontId="91" fillId="0" borderId="0" xfId="0" applyNumberFormat="1" applyFont="1"/>
    <xf numFmtId="186" fontId="91" fillId="0" borderId="31" xfId="836" applyNumberFormat="1" applyFont="1" applyBorder="1"/>
    <xf numFmtId="186" fontId="91" fillId="0" borderId="32" xfId="836" applyNumberFormat="1" applyFont="1" applyBorder="1"/>
    <xf numFmtId="0" fontId="98" fillId="0" borderId="0" xfId="0" applyFont="1"/>
    <xf numFmtId="170" fontId="98" fillId="0" borderId="0" xfId="0" applyNumberFormat="1" applyFont="1"/>
    <xf numFmtId="2" fontId="99" fillId="0" borderId="0" xfId="0" applyNumberFormat="1" applyFont="1"/>
    <xf numFmtId="10" fontId="99" fillId="0" borderId="0" xfId="950" applyNumberFormat="1" applyFont="1"/>
    <xf numFmtId="0" fontId="95" fillId="93" borderId="34" xfId="0" applyFont="1" applyFill="1" applyBorder="1" applyAlignment="1">
      <alignment horizontal="center"/>
    </xf>
    <xf numFmtId="186" fontId="94" fillId="93" borderId="34" xfId="836" applyNumberFormat="1" applyFont="1" applyFill="1" applyBorder="1"/>
    <xf numFmtId="186" fontId="94" fillId="93" borderId="35" xfId="836" applyNumberFormat="1" applyFont="1" applyFill="1" applyBorder="1"/>
    <xf numFmtId="173" fontId="91" fillId="0" borderId="0" xfId="0" applyNumberFormat="1" applyFont="1"/>
    <xf numFmtId="2" fontId="99" fillId="0" borderId="0" xfId="950" applyNumberFormat="1" applyFont="1" applyFill="1"/>
    <xf numFmtId="10" fontId="99" fillId="0" borderId="0" xfId="950" applyNumberFormat="1" applyFont="1" applyFill="1" applyBorder="1"/>
    <xf numFmtId="0" fontId="92" fillId="94" borderId="27" xfId="0" applyFont="1" applyFill="1" applyBorder="1"/>
    <xf numFmtId="169" fontId="92" fillId="94" borderId="29" xfId="836" applyNumberFormat="1" applyFont="1" applyFill="1" applyBorder="1"/>
    <xf numFmtId="0" fontId="92" fillId="94" borderId="30" xfId="0" applyFont="1" applyFill="1" applyBorder="1"/>
    <xf numFmtId="49" fontId="92" fillId="94" borderId="31" xfId="836" applyNumberFormat="1" applyFont="1" applyFill="1" applyBorder="1" applyAlignment="1">
      <alignment horizontal="left"/>
    </xf>
    <xf numFmtId="169" fontId="92" fillId="94" borderId="32" xfId="836" applyNumberFormat="1" applyFont="1" applyFill="1" applyBorder="1"/>
    <xf numFmtId="170" fontId="91" fillId="0" borderId="0" xfId="0" applyNumberFormat="1" applyFont="1"/>
    <xf numFmtId="186" fontId="92" fillId="94" borderId="32" xfId="836" applyNumberFormat="1" applyFont="1" applyFill="1" applyBorder="1"/>
    <xf numFmtId="10" fontId="92" fillId="0" borderId="0" xfId="950" applyNumberFormat="1" applyFont="1" applyFill="1"/>
    <xf numFmtId="0" fontId="92" fillId="94" borderId="33" xfId="0" applyFont="1" applyFill="1" applyBorder="1"/>
    <xf numFmtId="49" fontId="92" fillId="94" borderId="34" xfId="836" applyNumberFormat="1" applyFont="1" applyFill="1" applyBorder="1" applyAlignment="1">
      <alignment horizontal="left"/>
    </xf>
    <xf numFmtId="186" fontId="92" fillId="94" borderId="35" xfId="836" applyNumberFormat="1" applyFont="1" applyFill="1" applyBorder="1"/>
    <xf numFmtId="10" fontId="92" fillId="0" borderId="0" xfId="950" applyNumberFormat="1" applyFont="1"/>
    <xf numFmtId="10" fontId="93" fillId="0" borderId="0" xfId="0" applyNumberFormat="1" applyFont="1"/>
    <xf numFmtId="169" fontId="92" fillId="0" borderId="0" xfId="0" applyNumberFormat="1" applyFont="1"/>
    <xf numFmtId="170" fontId="93" fillId="0" borderId="0" xfId="0" applyNumberFormat="1" applyFont="1"/>
    <xf numFmtId="183" fontId="91" fillId="0" borderId="0" xfId="0" applyNumberFormat="1" applyFont="1"/>
    <xf numFmtId="170" fontId="92" fillId="95" borderId="0" xfId="0" applyNumberFormat="1" applyFont="1" applyFill="1"/>
    <xf numFmtId="169" fontId="92" fillId="0" borderId="0" xfId="828" applyNumberFormat="1" applyFont="1"/>
    <xf numFmtId="176" fontId="92" fillId="0" borderId="0" xfId="836" applyNumberFormat="1" applyFont="1" applyFill="1"/>
    <xf numFmtId="172" fontId="92" fillId="0" borderId="25" xfId="0" applyNumberFormat="1" applyFont="1" applyBorder="1"/>
    <xf numFmtId="177" fontId="92" fillId="0" borderId="25" xfId="836" applyNumberFormat="1" applyFont="1" applyBorder="1"/>
    <xf numFmtId="190" fontId="92" fillId="0" borderId="0" xfId="0" applyNumberFormat="1" applyFont="1"/>
    <xf numFmtId="4" fontId="92" fillId="95" borderId="0" xfId="0" applyNumberFormat="1" applyFont="1" applyFill="1"/>
    <xf numFmtId="172" fontId="92" fillId="0" borderId="0" xfId="0" applyNumberFormat="1" applyFont="1"/>
    <xf numFmtId="185" fontId="92" fillId="0" borderId="0" xfId="0" applyNumberFormat="1" applyFont="1"/>
    <xf numFmtId="10" fontId="100" fillId="0" borderId="0" xfId="0" applyNumberFormat="1" applyFont="1"/>
    <xf numFmtId="0" fontId="101" fillId="0" borderId="0" xfId="0" applyFont="1"/>
    <xf numFmtId="0" fontId="102" fillId="0" borderId="0" xfId="0" applyFont="1"/>
    <xf numFmtId="170" fontId="102" fillId="0" borderId="0" xfId="0" applyNumberFormat="1" applyFont="1"/>
    <xf numFmtId="169" fontId="92" fillId="0" borderId="0" xfId="836" applyNumberFormat="1" applyFont="1" applyFill="1" applyBorder="1"/>
    <xf numFmtId="180" fontId="93" fillId="0" borderId="0" xfId="0" applyNumberFormat="1" applyFont="1"/>
    <xf numFmtId="169" fontId="92" fillId="0" borderId="0" xfId="836" applyNumberFormat="1" applyFont="1" applyBorder="1"/>
    <xf numFmtId="2" fontId="102" fillId="0" borderId="0" xfId="0" applyNumberFormat="1" applyFont="1"/>
    <xf numFmtId="10" fontId="92" fillId="0" borderId="0" xfId="950" applyNumberFormat="1" applyFont="1" applyBorder="1"/>
    <xf numFmtId="10" fontId="93" fillId="0" borderId="0" xfId="950" applyNumberFormat="1" applyFont="1" applyFill="1" applyBorder="1"/>
    <xf numFmtId="10" fontId="102" fillId="0" borderId="0" xfId="0" applyNumberFormat="1" applyFont="1"/>
    <xf numFmtId="0" fontId="102" fillId="0" borderId="0" xfId="0" quotePrefix="1" applyFont="1"/>
    <xf numFmtId="175" fontId="91" fillId="0" borderId="0" xfId="0" applyNumberFormat="1" applyFont="1"/>
    <xf numFmtId="181" fontId="92" fillId="0" borderId="0" xfId="0" applyNumberFormat="1" applyFont="1"/>
    <xf numFmtId="10" fontId="92" fillId="0" borderId="0" xfId="0" applyNumberFormat="1" applyFont="1"/>
    <xf numFmtId="198" fontId="92" fillId="0" borderId="0" xfId="828" applyNumberFormat="1" applyFont="1"/>
    <xf numFmtId="4" fontId="92" fillId="0" borderId="0" xfId="0" applyNumberFormat="1" applyFont="1"/>
    <xf numFmtId="0" fontId="104" fillId="0" borderId="0" xfId="1704"/>
    <xf numFmtId="0" fontId="80" fillId="0" borderId="37" xfId="0" applyFont="1" applyBorder="1" applyAlignment="1">
      <alignment horizontal="center"/>
    </xf>
    <xf numFmtId="203" fontId="71" fillId="0" borderId="0" xfId="0" applyNumberFormat="1" applyFont="1" applyAlignment="1">
      <alignment horizontal="right" vertical="center"/>
    </xf>
    <xf numFmtId="203" fontId="72" fillId="0" borderId="0" xfId="0" applyNumberFormat="1" applyFont="1" applyAlignment="1">
      <alignment horizontal="right" vertical="center"/>
    </xf>
    <xf numFmtId="203" fontId="71" fillId="0" borderId="37" xfId="0" applyNumberFormat="1" applyFont="1" applyBorder="1" applyAlignment="1">
      <alignment horizontal="right" vertical="center"/>
    </xf>
    <xf numFmtId="0" fontId="86" fillId="0" borderId="42" xfId="0" applyFont="1" applyBorder="1" applyAlignment="1">
      <alignment horizontal="left" vertical="center" wrapText="1"/>
    </xf>
    <xf numFmtId="191" fontId="86" fillId="73" borderId="71" xfId="904" applyNumberFormat="1" applyFont="1" applyFill="1" applyBorder="1" applyAlignment="1">
      <alignment horizontal="center" vertical="center"/>
    </xf>
    <xf numFmtId="191" fontId="86" fillId="73" borderId="72" xfId="904" applyNumberFormat="1" applyFont="1" applyFill="1" applyBorder="1" applyAlignment="1">
      <alignment horizontal="center" vertical="center"/>
    </xf>
    <xf numFmtId="203" fontId="87" fillId="0" borderId="0" xfId="0" applyNumberFormat="1" applyFont="1" applyAlignment="1">
      <alignment wrapText="1"/>
    </xf>
    <xf numFmtId="203" fontId="92" fillId="0" borderId="56" xfId="904" applyNumberFormat="1" applyFont="1" applyBorder="1" applyAlignment="1">
      <alignment vertical="center"/>
    </xf>
    <xf numFmtId="204" fontId="87" fillId="0" borderId="1" xfId="904" applyNumberFormat="1" applyFont="1" applyBorder="1" applyAlignment="1">
      <alignment vertical="center"/>
    </xf>
    <xf numFmtId="0" fontId="92" fillId="0" borderId="42" xfId="877" applyFont="1" applyBorder="1" applyAlignment="1">
      <alignment horizontal="left" vertical="center" wrapText="1"/>
    </xf>
    <xf numFmtId="201" fontId="105" fillId="0" borderId="0" xfId="0" applyNumberFormat="1" applyFont="1"/>
    <xf numFmtId="165" fontId="87" fillId="0" borderId="0" xfId="903" applyNumberFormat="1" applyFont="1" applyAlignment="1">
      <alignment vertical="center"/>
    </xf>
    <xf numFmtId="165" fontId="89" fillId="99" borderId="73" xfId="904" applyNumberFormat="1" applyFont="1" applyFill="1" applyBorder="1" applyAlignment="1">
      <alignment vertical="center"/>
    </xf>
    <xf numFmtId="165" fontId="88" fillId="99" borderId="73" xfId="904" applyNumberFormat="1" applyFont="1" applyFill="1" applyBorder="1" applyAlignment="1">
      <alignment vertical="center"/>
    </xf>
    <xf numFmtId="165" fontId="89" fillId="99" borderId="73" xfId="903" applyNumberFormat="1" applyFont="1" applyFill="1" applyBorder="1" applyAlignment="1">
      <alignment vertical="center"/>
    </xf>
    <xf numFmtId="202" fontId="89" fillId="0" borderId="0" xfId="950" applyNumberFormat="1" applyFont="1" applyFill="1" applyBorder="1" applyAlignment="1">
      <alignment vertical="center"/>
    </xf>
    <xf numFmtId="165" fontId="87" fillId="0" borderId="1" xfId="904" applyNumberFormat="1" applyFont="1" applyBorder="1" applyAlignment="1">
      <alignment vertical="center"/>
    </xf>
    <xf numFmtId="165" fontId="87" fillId="0" borderId="47" xfId="904" applyNumberFormat="1" applyFont="1" applyBorder="1" applyAlignment="1">
      <alignment vertical="center"/>
    </xf>
    <xf numFmtId="165" fontId="86" fillId="73" borderId="1" xfId="904" applyNumberFormat="1" applyFont="1" applyFill="1" applyBorder="1" applyAlignment="1">
      <alignment vertical="center"/>
    </xf>
    <xf numFmtId="165" fontId="86" fillId="73" borderId="47" xfId="904" applyNumberFormat="1" applyFont="1" applyFill="1" applyBorder="1" applyAlignment="1">
      <alignment vertical="center"/>
    </xf>
    <xf numFmtId="165" fontId="86" fillId="73" borderId="1" xfId="904" applyNumberFormat="1" applyFont="1" applyFill="1" applyBorder="1" applyAlignment="1">
      <alignment horizontal="right" vertical="center"/>
    </xf>
    <xf numFmtId="165" fontId="86" fillId="73" borderId="47" xfId="904" applyNumberFormat="1" applyFont="1" applyFill="1" applyBorder="1" applyAlignment="1">
      <alignment horizontal="right" vertical="center"/>
    </xf>
    <xf numFmtId="165" fontId="86" fillId="0" borderId="1" xfId="904" applyNumberFormat="1" applyFont="1" applyBorder="1" applyAlignment="1">
      <alignment vertical="center"/>
    </xf>
    <xf numFmtId="165" fontId="86" fillId="0" borderId="47" xfId="904" applyNumberFormat="1" applyFont="1" applyBorder="1" applyAlignment="1">
      <alignment vertical="center"/>
    </xf>
    <xf numFmtId="165" fontId="86" fillId="73" borderId="48" xfId="904" applyNumberFormat="1" applyFont="1" applyFill="1" applyBorder="1" applyAlignment="1">
      <alignment vertical="center"/>
    </xf>
    <xf numFmtId="165" fontId="86" fillId="73" borderId="49" xfId="904" applyNumberFormat="1" applyFont="1" applyFill="1" applyBorder="1" applyAlignment="1">
      <alignment vertical="center"/>
    </xf>
    <xf numFmtId="165" fontId="86" fillId="0" borderId="60" xfId="904" applyNumberFormat="1" applyFont="1" applyBorder="1" applyAlignment="1">
      <alignment vertical="center"/>
    </xf>
    <xf numFmtId="165" fontId="86" fillId="0" borderId="66" xfId="904" applyNumberFormat="1" applyFont="1" applyBorder="1" applyAlignment="1">
      <alignment vertical="center"/>
    </xf>
    <xf numFmtId="165" fontId="87" fillId="0" borderId="0" xfId="903" applyNumberFormat="1" applyFont="1"/>
    <xf numFmtId="202" fontId="89" fillId="0" borderId="0" xfId="903" applyNumberFormat="1" applyFont="1" applyAlignment="1">
      <alignment vertical="center"/>
    </xf>
    <xf numFmtId="202" fontId="89" fillId="0" borderId="0" xfId="903" applyNumberFormat="1" applyFont="1" applyAlignment="1">
      <alignment horizontal="center" vertical="center"/>
    </xf>
    <xf numFmtId="165" fontId="88" fillId="99" borderId="83" xfId="904" applyNumberFormat="1" applyFont="1" applyFill="1" applyBorder="1" applyAlignment="1">
      <alignment horizontal="center" vertical="center"/>
    </xf>
    <xf numFmtId="202" fontId="88" fillId="99" borderId="84" xfId="904" applyNumberFormat="1" applyFont="1" applyFill="1" applyBorder="1" applyAlignment="1">
      <alignment horizontal="center" vertical="center"/>
    </xf>
    <xf numFmtId="202" fontId="89" fillId="99" borderId="74" xfId="950" applyNumberFormat="1" applyFont="1" applyFill="1" applyBorder="1" applyAlignment="1">
      <alignment vertical="center"/>
    </xf>
    <xf numFmtId="165" fontId="88" fillId="99" borderId="77" xfId="904" applyNumberFormat="1" applyFont="1" applyFill="1" applyBorder="1" applyAlignment="1">
      <alignment vertical="center"/>
    </xf>
    <xf numFmtId="202" fontId="88" fillId="99" borderId="78" xfId="950" applyNumberFormat="1" applyFont="1" applyFill="1" applyBorder="1" applyAlignment="1">
      <alignment vertical="center"/>
    </xf>
    <xf numFmtId="202" fontId="89" fillId="99" borderId="74" xfId="904" applyNumberFormat="1" applyFont="1" applyFill="1" applyBorder="1" applyAlignment="1">
      <alignment vertical="center"/>
    </xf>
    <xf numFmtId="165" fontId="89" fillId="99" borderId="75" xfId="904" applyNumberFormat="1" applyFont="1" applyFill="1" applyBorder="1" applyAlignment="1">
      <alignment vertical="center"/>
    </xf>
    <xf numFmtId="202" fontId="89" fillId="99" borderId="76" xfId="904" applyNumberFormat="1" applyFont="1" applyFill="1" applyBorder="1" applyAlignment="1">
      <alignment vertical="center"/>
    </xf>
    <xf numFmtId="202" fontId="88" fillId="99" borderId="78" xfId="904" applyNumberFormat="1" applyFont="1" applyFill="1" applyBorder="1" applyAlignment="1">
      <alignment vertical="center"/>
    </xf>
    <xf numFmtId="165" fontId="88" fillId="99" borderId="79" xfId="904" applyNumberFormat="1" applyFont="1" applyFill="1" applyBorder="1" applyAlignment="1">
      <alignment horizontal="center" vertical="center"/>
    </xf>
    <xf numFmtId="202" fontId="88" fillId="99" borderId="80" xfId="0" applyNumberFormat="1" applyFont="1" applyFill="1" applyBorder="1" applyAlignment="1">
      <alignment horizontal="center" vertical="center"/>
    </xf>
    <xf numFmtId="202" fontId="89" fillId="99" borderId="74" xfId="0" applyNumberFormat="1" applyFont="1" applyFill="1" applyBorder="1" applyAlignment="1">
      <alignment horizontal="center" vertical="center" wrapText="1"/>
    </xf>
    <xf numFmtId="202" fontId="89" fillId="99" borderId="74" xfId="1700" applyNumberFormat="1" applyFont="1" applyFill="1" applyBorder="1" applyAlignment="1">
      <alignment horizontal="center" vertical="center" wrapText="1"/>
    </xf>
    <xf numFmtId="202" fontId="88" fillId="99" borderId="74" xfId="0" applyNumberFormat="1" applyFont="1" applyFill="1" applyBorder="1" applyAlignment="1">
      <alignment horizontal="center" vertical="center" wrapText="1"/>
    </xf>
    <xf numFmtId="202" fontId="88" fillId="99" borderId="78" xfId="0" applyNumberFormat="1" applyFont="1" applyFill="1" applyBorder="1" applyAlignment="1">
      <alignment horizontal="center" vertical="center" wrapText="1"/>
    </xf>
    <xf numFmtId="202" fontId="88" fillId="99" borderId="74" xfId="1700" applyNumberFormat="1" applyFont="1" applyFill="1" applyBorder="1" applyAlignment="1">
      <alignment horizontal="center" vertical="center" wrapText="1"/>
    </xf>
    <xf numFmtId="203" fontId="86" fillId="96" borderId="56" xfId="904" applyNumberFormat="1" applyFont="1" applyFill="1" applyBorder="1" applyAlignment="1">
      <alignment vertical="center"/>
    </xf>
    <xf numFmtId="203" fontId="86" fillId="96" borderId="1" xfId="904" applyNumberFormat="1" applyFont="1" applyFill="1" applyBorder="1" applyAlignment="1">
      <alignment vertical="center"/>
    </xf>
    <xf numFmtId="165" fontId="87" fillId="0" borderId="43" xfId="0" applyNumberFormat="1" applyFont="1" applyBorder="1" applyAlignment="1">
      <alignment horizontal="right" vertical="center" wrapText="1"/>
    </xf>
    <xf numFmtId="165" fontId="86" fillId="0" borderId="43" xfId="0" applyNumberFormat="1" applyFont="1" applyBorder="1" applyAlignment="1">
      <alignment horizontal="right" vertical="center" wrapText="1"/>
    </xf>
    <xf numFmtId="165" fontId="86" fillId="0" borderId="45" xfId="0" applyNumberFormat="1" applyFont="1" applyBorder="1" applyAlignment="1">
      <alignment horizontal="right" vertical="center" wrapText="1"/>
    </xf>
    <xf numFmtId="165" fontId="86" fillId="96" borderId="43" xfId="0" applyNumberFormat="1" applyFont="1" applyFill="1" applyBorder="1" applyAlignment="1">
      <alignment horizontal="right" vertical="center" wrapText="1"/>
    </xf>
    <xf numFmtId="165" fontId="86" fillId="96" borderId="43" xfId="0" applyNumberFormat="1" applyFont="1" applyFill="1" applyBorder="1" applyAlignment="1">
      <alignment vertical="center" wrapText="1"/>
    </xf>
    <xf numFmtId="165" fontId="87" fillId="96" borderId="43" xfId="0" applyNumberFormat="1" applyFont="1" applyFill="1" applyBorder="1" applyAlignment="1">
      <alignment horizontal="right" vertical="center" wrapText="1"/>
    </xf>
    <xf numFmtId="165" fontId="69" fillId="0" borderId="0" xfId="903" applyNumberFormat="1" applyFont="1"/>
    <xf numFmtId="49" fontId="92" fillId="94" borderId="28" xfId="836" applyNumberFormat="1" applyFont="1" applyFill="1" applyBorder="1" applyAlignment="1">
      <alignment horizontal="center"/>
    </xf>
    <xf numFmtId="0" fontId="80" fillId="0" borderId="65" xfId="0" applyFont="1" applyBorder="1" applyAlignment="1">
      <alignment horizontal="right" vertical="center"/>
    </xf>
    <xf numFmtId="0" fontId="80" fillId="0" borderId="65" xfId="0" applyFont="1" applyBorder="1" applyAlignment="1">
      <alignment horizontal="center" vertical="center"/>
    </xf>
    <xf numFmtId="165" fontId="77" fillId="0" borderId="0" xfId="1700" applyFont="1" applyAlignment="1">
      <alignment horizontal="right" vertical="center"/>
    </xf>
    <xf numFmtId="165" fontId="80" fillId="0" borderId="0" xfId="1700" applyFont="1" applyAlignment="1">
      <alignment horizontal="right" vertical="center"/>
    </xf>
    <xf numFmtId="0" fontId="91" fillId="96" borderId="25" xfId="0" applyFont="1" applyFill="1" applyBorder="1"/>
    <xf numFmtId="0" fontId="91" fillId="0" borderId="88" xfId="0" applyFont="1" applyBorder="1"/>
    <xf numFmtId="3" fontId="92" fillId="0" borderId="0" xfId="0" applyNumberFormat="1" applyFont="1"/>
    <xf numFmtId="3" fontId="91" fillId="0" borderId="0" xfId="0" applyNumberFormat="1" applyFont="1"/>
    <xf numFmtId="10" fontId="91" fillId="0" borderId="0" xfId="1699" applyNumberFormat="1" applyFont="1"/>
    <xf numFmtId="202" fontId="88" fillId="0" borderId="0" xfId="903" applyNumberFormat="1" applyFont="1" applyAlignment="1">
      <alignment horizontal="center" vertical="center"/>
    </xf>
    <xf numFmtId="3" fontId="88" fillId="0" borderId="0" xfId="904" applyNumberFormat="1" applyFont="1" applyAlignment="1">
      <alignment horizontal="center" vertical="center"/>
    </xf>
    <xf numFmtId="202" fontId="88" fillId="0" borderId="0" xfId="904" applyNumberFormat="1" applyFont="1" applyAlignment="1">
      <alignment horizontal="center" vertical="center"/>
    </xf>
    <xf numFmtId="202" fontId="89" fillId="0" borderId="0" xfId="904" applyNumberFormat="1" applyFont="1" applyAlignment="1">
      <alignment vertical="center"/>
    </xf>
    <xf numFmtId="202" fontId="88" fillId="0" borderId="0" xfId="904" applyNumberFormat="1" applyFont="1" applyAlignment="1">
      <alignment vertical="center"/>
    </xf>
    <xf numFmtId="0" fontId="77" fillId="0" borderId="0" xfId="0" applyFont="1" applyAlignment="1">
      <alignment horizontal="right"/>
    </xf>
    <xf numFmtId="165" fontId="73" fillId="0" borderId="0" xfId="0" applyNumberFormat="1" applyFont="1"/>
    <xf numFmtId="0" fontId="72" fillId="0" borderId="25" xfId="0" applyFont="1" applyBorder="1" applyAlignment="1">
      <alignment vertical="center"/>
    </xf>
    <xf numFmtId="0" fontId="72" fillId="0" borderId="25" xfId="0" applyFont="1" applyBorder="1" applyAlignment="1">
      <alignment horizontal="center" vertical="center"/>
    </xf>
    <xf numFmtId="203" fontId="71" fillId="0" borderId="25" xfId="0" applyNumberFormat="1" applyFont="1" applyBorder="1" applyAlignment="1">
      <alignment horizontal="right" vertical="center"/>
    </xf>
    <xf numFmtId="203" fontId="72" fillId="0" borderId="25" xfId="0" applyNumberFormat="1" applyFont="1" applyBorder="1" applyAlignment="1">
      <alignment horizontal="right" vertical="center"/>
    </xf>
    <xf numFmtId="165" fontId="71" fillId="0" borderId="0" xfId="1700" applyFont="1" applyAlignment="1">
      <alignment horizontal="right" vertical="center"/>
    </xf>
    <xf numFmtId="202" fontId="71" fillId="0" borderId="0" xfId="0" applyNumberFormat="1" applyFont="1" applyAlignment="1">
      <alignment horizontal="center" vertical="center"/>
    </xf>
    <xf numFmtId="165" fontId="91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17" fontId="91" fillId="0" borderId="0" xfId="0" applyNumberFormat="1" applyFont="1" applyAlignment="1">
      <alignment horizontal="center"/>
    </xf>
    <xf numFmtId="165" fontId="92" fillId="0" borderId="0" xfId="0" applyNumberFormat="1" applyFont="1"/>
    <xf numFmtId="165" fontId="92" fillId="0" borderId="25" xfId="0" applyNumberFormat="1" applyFont="1" applyBorder="1"/>
    <xf numFmtId="165" fontId="91" fillId="0" borderId="0" xfId="0" applyNumberFormat="1" applyFont="1"/>
    <xf numFmtId="0" fontId="95" fillId="0" borderId="0" xfId="0" applyFont="1"/>
    <xf numFmtId="165" fontId="91" fillId="0" borderId="0" xfId="0" applyNumberFormat="1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17" fontId="91" fillId="0" borderId="0" xfId="0" applyNumberFormat="1" applyFont="1" applyAlignment="1">
      <alignment horizontal="center" vertical="center"/>
    </xf>
    <xf numFmtId="165" fontId="92" fillId="0" borderId="0" xfId="1700" applyFont="1"/>
    <xf numFmtId="0" fontId="87" fillId="100" borderId="0" xfId="0" applyFont="1" applyFill="1" applyAlignment="1">
      <alignment wrapText="1"/>
    </xf>
    <xf numFmtId="203" fontId="87" fillId="100" borderId="0" xfId="0" applyNumberFormat="1" applyFont="1" applyFill="1" applyAlignment="1">
      <alignment wrapText="1"/>
    </xf>
    <xf numFmtId="165" fontId="87" fillId="0" borderId="0" xfId="0" applyNumberFormat="1" applyFont="1" applyAlignment="1">
      <alignment wrapText="1"/>
    </xf>
    <xf numFmtId="0" fontId="71" fillId="0" borderId="65" xfId="0" applyFont="1" applyBorder="1" applyAlignment="1">
      <alignment horizontal="center" vertical="center"/>
    </xf>
    <xf numFmtId="188" fontId="73" fillId="0" borderId="0" xfId="0" applyNumberFormat="1" applyFont="1"/>
    <xf numFmtId="205" fontId="72" fillId="0" borderId="0" xfId="0" applyNumberFormat="1" applyFont="1"/>
    <xf numFmtId="165" fontId="89" fillId="100" borderId="73" xfId="904" applyNumberFormat="1" applyFont="1" applyFill="1" applyBorder="1" applyAlignment="1">
      <alignment vertical="center"/>
    </xf>
    <xf numFmtId="14" fontId="91" fillId="73" borderId="90" xfId="904" applyNumberFormat="1" applyFont="1" applyFill="1" applyBorder="1" applyAlignment="1">
      <alignment horizontal="center" vertical="center"/>
    </xf>
    <xf numFmtId="10" fontId="91" fillId="0" borderId="88" xfId="0" applyNumberFormat="1" applyFont="1" applyBorder="1"/>
    <xf numFmtId="10" fontId="71" fillId="0" borderId="0" xfId="950" applyNumberFormat="1" applyFont="1"/>
    <xf numFmtId="10" fontId="82" fillId="0" borderId="0" xfId="950" applyNumberFormat="1" applyFont="1" applyFill="1"/>
    <xf numFmtId="10" fontId="73" fillId="0" borderId="0" xfId="0" applyNumberFormat="1" applyFont="1"/>
    <xf numFmtId="10" fontId="83" fillId="0" borderId="0" xfId="950" applyNumberFormat="1" applyFont="1" applyFill="1"/>
    <xf numFmtId="165" fontId="73" fillId="0" borderId="0" xfId="1700" applyFont="1"/>
    <xf numFmtId="0" fontId="71" fillId="101" borderId="37" xfId="0" applyFont="1" applyFill="1" applyBorder="1" applyAlignment="1">
      <alignment vertical="center"/>
    </xf>
    <xf numFmtId="0" fontId="71" fillId="101" borderId="37" xfId="0" applyFont="1" applyFill="1" applyBorder="1" applyAlignment="1">
      <alignment horizontal="center" vertical="center"/>
    </xf>
    <xf numFmtId="0" fontId="73" fillId="101" borderId="0" xfId="0" applyFont="1" applyFill="1"/>
    <xf numFmtId="0" fontId="73" fillId="101" borderId="0" xfId="0" applyFont="1" applyFill="1" applyAlignment="1">
      <alignment vertical="center"/>
    </xf>
    <xf numFmtId="3" fontId="73" fillId="101" borderId="0" xfId="0" applyNumberFormat="1" applyFont="1" applyFill="1" applyAlignment="1">
      <alignment vertical="center"/>
    </xf>
    <xf numFmtId="3" fontId="69" fillId="101" borderId="0" xfId="0" applyNumberFormat="1" applyFont="1" applyFill="1"/>
    <xf numFmtId="3" fontId="71" fillId="101" borderId="0" xfId="0" applyNumberFormat="1" applyFont="1" applyFill="1" applyAlignment="1">
      <alignment horizontal="right" vertical="center"/>
    </xf>
    <xf numFmtId="0" fontId="92" fillId="0" borderId="91" xfId="0" applyFont="1" applyBorder="1"/>
    <xf numFmtId="0" fontId="92" fillId="0" borderId="92" xfId="0" applyFont="1" applyBorder="1"/>
    <xf numFmtId="0" fontId="95" fillId="93" borderId="93" xfId="0" applyFont="1" applyFill="1" applyBorder="1"/>
    <xf numFmtId="183" fontId="94" fillId="93" borderId="94" xfId="0" applyNumberFormat="1" applyFont="1" applyFill="1" applyBorder="1"/>
    <xf numFmtId="49" fontId="94" fillId="93" borderId="95" xfId="836" applyNumberFormat="1" applyFont="1" applyFill="1" applyBorder="1" applyAlignment="1">
      <alignment horizontal="left"/>
    </xf>
    <xf numFmtId="49" fontId="94" fillId="93" borderId="96" xfId="836" applyNumberFormat="1" applyFont="1" applyFill="1" applyBorder="1" applyAlignment="1">
      <alignment horizontal="center"/>
    </xf>
    <xf numFmtId="49" fontId="94" fillId="93" borderId="97" xfId="836" applyNumberFormat="1" applyFont="1" applyFill="1" applyBorder="1" applyAlignment="1">
      <alignment horizontal="center"/>
    </xf>
    <xf numFmtId="0" fontId="92" fillId="0" borderId="98" xfId="0" applyFont="1" applyBorder="1"/>
    <xf numFmtId="183" fontId="94" fillId="93" borderId="99" xfId="0" applyNumberFormat="1" applyFont="1" applyFill="1" applyBorder="1"/>
    <xf numFmtId="170" fontId="92" fillId="100" borderId="25" xfId="0" applyNumberFormat="1" applyFont="1" applyFill="1" applyBorder="1"/>
    <xf numFmtId="0" fontId="94" fillId="93" borderId="100" xfId="0" applyFont="1" applyFill="1" applyBorder="1"/>
    <xf numFmtId="49" fontId="94" fillId="93" borderId="101" xfId="836" quotePrefix="1" applyNumberFormat="1" applyFont="1" applyFill="1" applyBorder="1" applyAlignment="1">
      <alignment horizontal="center"/>
    </xf>
    <xf numFmtId="49" fontId="94" fillId="93" borderId="102" xfId="836" quotePrefix="1" applyNumberFormat="1" applyFont="1" applyFill="1" applyBorder="1" applyAlignment="1">
      <alignment horizontal="center"/>
    </xf>
    <xf numFmtId="0" fontId="92" fillId="0" borderId="103" xfId="0" applyFont="1" applyBorder="1"/>
    <xf numFmtId="186" fontId="92" fillId="0" borderId="104" xfId="836" applyNumberFormat="1" applyFont="1" applyFill="1" applyBorder="1"/>
    <xf numFmtId="0" fontId="91" fillId="0" borderId="103" xfId="0" applyFont="1" applyBorder="1"/>
    <xf numFmtId="0" fontId="103" fillId="0" borderId="103" xfId="0" applyFont="1" applyBorder="1"/>
    <xf numFmtId="0" fontId="91" fillId="0" borderId="105" xfId="0" applyFont="1" applyBorder="1"/>
    <xf numFmtId="186" fontId="91" fillId="0" borderId="104" xfId="836" applyNumberFormat="1" applyFont="1" applyFill="1" applyBorder="1"/>
    <xf numFmtId="186" fontId="91" fillId="0" borderId="106" xfId="836" applyNumberFormat="1" applyFont="1" applyFill="1" applyBorder="1"/>
    <xf numFmtId="186" fontId="91" fillId="0" borderId="107" xfId="836" applyNumberFormat="1" applyFont="1" applyFill="1" applyBorder="1"/>
    <xf numFmtId="186" fontId="79" fillId="0" borderId="31" xfId="836" applyNumberFormat="1" applyFont="1" applyFill="1" applyBorder="1"/>
    <xf numFmtId="186" fontId="79" fillId="0" borderId="104" xfId="836" applyNumberFormat="1" applyFont="1" applyFill="1" applyBorder="1"/>
    <xf numFmtId="165" fontId="73" fillId="0" borderId="0" xfId="1700" applyFont="1" applyAlignment="1">
      <alignment vertical="center"/>
    </xf>
    <xf numFmtId="10" fontId="72" fillId="0" borderId="0" xfId="0" applyNumberFormat="1" applyFont="1" applyAlignment="1">
      <alignment horizontal="right"/>
    </xf>
    <xf numFmtId="0" fontId="76" fillId="0" borderId="0" xfId="0" applyFont="1"/>
    <xf numFmtId="0" fontId="80" fillId="0" borderId="0" xfId="0" applyFont="1" applyAlignment="1">
      <alignment horizontal="center" vertical="center"/>
    </xf>
    <xf numFmtId="188" fontId="77" fillId="0" borderId="0" xfId="0" applyNumberFormat="1" applyFont="1" applyAlignment="1">
      <alignment horizontal="right" vertical="center"/>
    </xf>
    <xf numFmtId="3" fontId="77" fillId="0" borderId="39" xfId="0" applyNumberFormat="1" applyFont="1" applyBorder="1" applyAlignment="1">
      <alignment horizontal="right" vertical="center"/>
    </xf>
    <xf numFmtId="188" fontId="77" fillId="0" borderId="39" xfId="0" applyNumberFormat="1" applyFont="1" applyBorder="1" applyAlignment="1">
      <alignment horizontal="right" vertical="center"/>
    </xf>
    <xf numFmtId="188" fontId="80" fillId="0" borderId="0" xfId="0" applyNumberFormat="1" applyFont="1" applyAlignment="1">
      <alignment horizontal="right" vertical="center"/>
    </xf>
    <xf numFmtId="165" fontId="69" fillId="0" borderId="0" xfId="1700" applyFont="1" applyFill="1" applyAlignment="1">
      <alignment vertical="center"/>
    </xf>
    <xf numFmtId="165" fontId="73" fillId="0" borderId="0" xfId="1700" applyFont="1" applyFill="1" applyAlignment="1">
      <alignment vertical="center"/>
    </xf>
    <xf numFmtId="203" fontId="73" fillId="0" borderId="0" xfId="0" applyNumberFormat="1" applyFont="1"/>
    <xf numFmtId="0" fontId="80" fillId="101" borderId="0" xfId="0" applyFont="1" applyFill="1"/>
    <xf numFmtId="0" fontId="77" fillId="101" borderId="0" xfId="0" applyFont="1" applyFill="1" applyAlignment="1">
      <alignment vertical="center"/>
    </xf>
    <xf numFmtId="0" fontId="75" fillId="101" borderId="0" xfId="0" applyFont="1" applyFill="1" applyAlignment="1">
      <alignment horizontal="justify"/>
    </xf>
    <xf numFmtId="0" fontId="72" fillId="101" borderId="0" xfId="0" applyFont="1" applyFill="1" applyAlignment="1">
      <alignment vertical="center"/>
    </xf>
    <xf numFmtId="0" fontId="71" fillId="101" borderId="0" xfId="0" applyFont="1" applyFill="1" applyAlignment="1">
      <alignment vertical="center"/>
    </xf>
    <xf numFmtId="3" fontId="71" fillId="101" borderId="0" xfId="0" applyNumberFormat="1" applyFont="1" applyFill="1"/>
    <xf numFmtId="3" fontId="73" fillId="101" borderId="0" xfId="0" applyNumberFormat="1" applyFont="1" applyFill="1"/>
    <xf numFmtId="0" fontId="84" fillId="0" borderId="0" xfId="0" applyFont="1" applyAlignment="1">
      <alignment vertical="center"/>
    </xf>
    <xf numFmtId="14" fontId="108" fillId="73" borderId="90" xfId="904" applyNumberFormat="1" applyFont="1" applyFill="1" applyBorder="1" applyAlignment="1">
      <alignment horizontal="center" vertical="center" wrapText="1"/>
    </xf>
    <xf numFmtId="203" fontId="109" fillId="73" borderId="108" xfId="904" applyNumberFormat="1" applyFont="1" applyFill="1" applyBorder="1" applyAlignment="1">
      <alignment horizontal="center" vertical="top"/>
    </xf>
    <xf numFmtId="203" fontId="87" fillId="0" borderId="109" xfId="904" applyNumberFormat="1" applyFont="1" applyBorder="1" applyAlignment="1">
      <alignment vertical="center"/>
    </xf>
    <xf numFmtId="3" fontId="86" fillId="73" borderId="109" xfId="904" applyNumberFormat="1" applyFont="1" applyFill="1" applyBorder="1" applyAlignment="1">
      <alignment vertical="center"/>
    </xf>
    <xf numFmtId="3" fontId="87" fillId="0" borderId="109" xfId="904" applyNumberFormat="1" applyFont="1" applyBorder="1" applyAlignment="1">
      <alignment horizontal="center" vertical="center"/>
    </xf>
    <xf numFmtId="3" fontId="86" fillId="98" borderId="109" xfId="904" applyNumberFormat="1" applyFont="1" applyFill="1" applyBorder="1" applyAlignment="1">
      <alignment vertical="center"/>
    </xf>
    <xf numFmtId="204" fontId="87" fillId="0" borderId="109" xfId="904" applyNumberFormat="1" applyFont="1" applyBorder="1" applyAlignment="1">
      <alignment vertical="center"/>
    </xf>
    <xf numFmtId="199" fontId="86" fillId="73" borderId="110" xfId="904" applyNumberFormat="1" applyFont="1" applyFill="1" applyBorder="1" applyAlignment="1">
      <alignment vertical="center"/>
    </xf>
    <xf numFmtId="203" fontId="109" fillId="73" borderId="58" xfId="904" applyNumberFormat="1" applyFont="1" applyFill="1" applyBorder="1" applyAlignment="1">
      <alignment horizontal="center" vertical="top"/>
    </xf>
    <xf numFmtId="3" fontId="86" fillId="73" borderId="47" xfId="904" applyNumberFormat="1" applyFont="1" applyFill="1" applyBorder="1" applyAlignment="1">
      <alignment vertical="center"/>
    </xf>
    <xf numFmtId="3" fontId="87" fillId="0" borderId="47" xfId="904" applyNumberFormat="1" applyFont="1" applyBorder="1" applyAlignment="1">
      <alignment vertical="center"/>
    </xf>
    <xf numFmtId="3" fontId="86" fillId="98" borderId="47" xfId="904" applyNumberFormat="1" applyFont="1" applyFill="1" applyBorder="1" applyAlignment="1">
      <alignment vertical="center"/>
    </xf>
    <xf numFmtId="204" fontId="87" fillId="0" borderId="47" xfId="904" applyNumberFormat="1" applyFont="1" applyBorder="1" applyAlignment="1">
      <alignment vertical="center"/>
    </xf>
    <xf numFmtId="199" fontId="86" fillId="73" borderId="49" xfId="904" applyNumberFormat="1" applyFont="1" applyFill="1" applyBorder="1" applyAlignment="1">
      <alignment vertical="center"/>
    </xf>
    <xf numFmtId="1" fontId="92" fillId="94" borderId="31" xfId="836" applyNumberFormat="1" applyFont="1" applyFill="1" applyBorder="1" applyAlignment="1">
      <alignment horizontal="center"/>
    </xf>
    <xf numFmtId="165" fontId="70" fillId="0" borderId="0" xfId="1700" applyFont="1"/>
    <xf numFmtId="10" fontId="92" fillId="0" borderId="0" xfId="1699" applyNumberFormat="1" applyFont="1"/>
    <xf numFmtId="187" fontId="73" fillId="0" borderId="0" xfId="0" applyNumberFormat="1" applyFont="1"/>
    <xf numFmtId="203" fontId="86" fillId="73" borderId="56" xfId="904" applyNumberFormat="1" applyFont="1" applyFill="1" applyBorder="1" applyAlignment="1">
      <alignment horizontal="left" vertical="center"/>
    </xf>
    <xf numFmtId="203" fontId="86" fillId="73" borderId="1" xfId="904" applyNumberFormat="1" applyFont="1" applyFill="1" applyBorder="1" applyAlignment="1">
      <alignment horizontal="center" vertical="center"/>
    </xf>
    <xf numFmtId="0" fontId="87" fillId="0" borderId="0" xfId="903" applyFont="1" applyAlignment="1">
      <alignment vertical="center"/>
    </xf>
    <xf numFmtId="3" fontId="87" fillId="0" borderId="0" xfId="903" applyNumberFormat="1" applyFont="1" applyAlignment="1">
      <alignment vertical="center"/>
    </xf>
    <xf numFmtId="0" fontId="86" fillId="0" borderId="0" xfId="904" applyFont="1" applyAlignment="1">
      <alignment vertical="center"/>
    </xf>
    <xf numFmtId="203" fontId="86" fillId="73" borderId="57" xfId="904" applyNumberFormat="1" applyFont="1" applyFill="1" applyBorder="1" applyAlignment="1">
      <alignment horizontal="center" vertical="center"/>
    </xf>
    <xf numFmtId="203" fontId="86" fillId="73" borderId="58" xfId="904" applyNumberFormat="1" applyFont="1" applyFill="1" applyBorder="1" applyAlignment="1">
      <alignment horizontal="center" vertical="center"/>
    </xf>
    <xf numFmtId="192" fontId="86" fillId="0" borderId="0" xfId="904" applyNumberFormat="1" applyFont="1" applyAlignment="1">
      <alignment horizontal="center" vertical="center"/>
    </xf>
    <xf numFmtId="203" fontId="86" fillId="0" borderId="56" xfId="904" applyNumberFormat="1" applyFont="1" applyBorder="1" applyAlignment="1">
      <alignment horizontal="left" vertical="center"/>
    </xf>
    <xf numFmtId="0" fontId="90" fillId="0" borderId="0" xfId="904" applyFont="1" applyAlignment="1">
      <alignment vertical="center"/>
    </xf>
    <xf numFmtId="203" fontId="86" fillId="73" borderId="59" xfId="904" applyNumberFormat="1" applyFont="1" applyFill="1" applyBorder="1" applyAlignment="1">
      <alignment horizontal="left" vertical="center"/>
    </xf>
    <xf numFmtId="0" fontId="87" fillId="0" borderId="0" xfId="0" applyFont="1" applyAlignment="1">
      <alignment horizontal="left" vertical="center"/>
    </xf>
    <xf numFmtId="203" fontId="86" fillId="0" borderId="1" xfId="904" applyNumberFormat="1" applyFont="1" applyBorder="1" applyAlignment="1">
      <alignment horizontal="left" vertical="center"/>
    </xf>
    <xf numFmtId="203" fontId="86" fillId="73" borderId="1" xfId="904" applyNumberFormat="1" applyFont="1" applyFill="1" applyBorder="1" applyAlignment="1">
      <alignment horizontal="left" vertical="center"/>
    </xf>
    <xf numFmtId="203" fontId="78" fillId="0" borderId="56" xfId="904" applyNumberFormat="1" applyFont="1" applyBorder="1" applyAlignment="1">
      <alignment horizontal="left" vertical="center"/>
    </xf>
    <xf numFmtId="203" fontId="86" fillId="0" borderId="56" xfId="904" applyNumberFormat="1" applyFont="1" applyBorder="1" applyAlignment="1">
      <alignment horizontal="left" vertical="center" wrapText="1"/>
    </xf>
    <xf numFmtId="203" fontId="86" fillId="73" borderId="48" xfId="904" applyNumberFormat="1" applyFont="1" applyFill="1" applyBorder="1" applyAlignment="1">
      <alignment horizontal="left" vertical="center"/>
    </xf>
    <xf numFmtId="3" fontId="106" fillId="0" borderId="0" xfId="903" applyNumberFormat="1" applyFont="1" applyAlignment="1">
      <alignment vertical="center"/>
    </xf>
    <xf numFmtId="165" fontId="106" fillId="0" borderId="0" xfId="1700" applyFont="1" applyFill="1" applyBorder="1" applyAlignment="1">
      <alignment vertical="center"/>
    </xf>
    <xf numFmtId="3" fontId="110" fillId="0" borderId="0" xfId="878" applyNumberFormat="1" applyFont="1" applyAlignment="1">
      <alignment horizontal="right"/>
    </xf>
    <xf numFmtId="3" fontId="87" fillId="100" borderId="0" xfId="904" applyNumberFormat="1" applyFont="1" applyFill="1" applyAlignment="1">
      <alignment vertical="center"/>
    </xf>
    <xf numFmtId="206" fontId="82" fillId="0" borderId="0" xfId="950" applyNumberFormat="1" applyFont="1" applyFill="1"/>
    <xf numFmtId="165" fontId="80" fillId="0" borderId="0" xfId="1700" applyFont="1" applyFill="1" applyAlignment="1">
      <alignment horizontal="right" vertical="center"/>
    </xf>
    <xf numFmtId="165" fontId="77" fillId="0" borderId="0" xfId="1700" applyFont="1" applyFill="1" applyAlignment="1">
      <alignment horizontal="right" vertical="center"/>
    </xf>
    <xf numFmtId="0" fontId="78" fillId="0" borderId="0" xfId="0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 applyAlignment="1">
      <alignment vertical="center"/>
    </xf>
    <xf numFmtId="165" fontId="72" fillId="0" borderId="0" xfId="0" applyNumberFormat="1" applyFont="1" applyAlignment="1">
      <alignment vertical="center"/>
    </xf>
    <xf numFmtId="202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202" fontId="71" fillId="0" borderId="0" xfId="0" applyNumberFormat="1" applyFont="1" applyAlignment="1">
      <alignment vertical="center"/>
    </xf>
    <xf numFmtId="165" fontId="73" fillId="0" borderId="0" xfId="0" applyNumberFormat="1" applyFont="1" applyAlignment="1">
      <alignment vertical="center"/>
    </xf>
    <xf numFmtId="202" fontId="73" fillId="0" borderId="0" xfId="0" applyNumberFormat="1" applyFont="1" applyAlignment="1">
      <alignment vertical="center"/>
    </xf>
    <xf numFmtId="165" fontId="69" fillId="0" borderId="0" xfId="1700" applyFont="1" applyFill="1"/>
    <xf numFmtId="0" fontId="107" fillId="0" borderId="0" xfId="0" applyFont="1" applyAlignment="1">
      <alignment vertical="center" wrapText="1"/>
    </xf>
    <xf numFmtId="0" fontId="80" fillId="0" borderId="65" xfId="0" applyFont="1" applyBorder="1" applyAlignment="1">
      <alignment horizontal="center" vertical="center"/>
    </xf>
    <xf numFmtId="0" fontId="71" fillId="0" borderId="37" xfId="0" applyFont="1" applyBorder="1" applyAlignment="1">
      <alignment horizontal="center" vertical="center"/>
    </xf>
    <xf numFmtId="0" fontId="80" fillId="0" borderId="87" xfId="0" applyFont="1" applyBorder="1" applyAlignment="1">
      <alignment horizontal="center" vertical="center"/>
    </xf>
    <xf numFmtId="0" fontId="80" fillId="0" borderId="38" xfId="0" applyFont="1" applyBorder="1" applyAlignment="1">
      <alignment horizontal="center" vertical="center"/>
    </xf>
    <xf numFmtId="0" fontId="71" fillId="0" borderId="40" xfId="0" applyFont="1" applyBorder="1" applyAlignment="1">
      <alignment horizontal="center" vertical="center"/>
    </xf>
    <xf numFmtId="0" fontId="71" fillId="0" borderId="38" xfId="0" applyFont="1" applyBorder="1" applyAlignment="1">
      <alignment horizontal="center" vertical="center"/>
    </xf>
    <xf numFmtId="0" fontId="84" fillId="0" borderId="0" xfId="0" applyFont="1" applyAlignment="1">
      <alignment horizontal="right" vertical="center"/>
    </xf>
    <xf numFmtId="203" fontId="86" fillId="73" borderId="54" xfId="904" applyNumberFormat="1" applyFont="1" applyFill="1" applyBorder="1" applyAlignment="1">
      <alignment horizontal="left" vertical="center"/>
    </xf>
    <xf numFmtId="203" fontId="86" fillId="73" borderId="56" xfId="904" applyNumberFormat="1" applyFont="1" applyFill="1" applyBorder="1" applyAlignment="1">
      <alignment horizontal="left" vertical="center"/>
    </xf>
    <xf numFmtId="203" fontId="86" fillId="73" borderId="55" xfId="904" applyNumberFormat="1" applyFont="1" applyFill="1" applyBorder="1" applyAlignment="1">
      <alignment horizontal="center" vertical="center"/>
    </xf>
    <xf numFmtId="203" fontId="86" fillId="73" borderId="1" xfId="904" applyNumberFormat="1" applyFont="1" applyFill="1" applyBorder="1" applyAlignment="1">
      <alignment horizontal="center" vertical="center"/>
    </xf>
    <xf numFmtId="165" fontId="88" fillId="99" borderId="85" xfId="904" applyNumberFormat="1" applyFont="1" applyFill="1" applyBorder="1" applyAlignment="1">
      <alignment horizontal="center" vertical="center"/>
    </xf>
    <xf numFmtId="165" fontId="88" fillId="99" borderId="86" xfId="904" applyNumberFormat="1" applyFont="1" applyFill="1" applyBorder="1" applyAlignment="1">
      <alignment horizontal="center" vertical="center"/>
    </xf>
    <xf numFmtId="203" fontId="86" fillId="73" borderId="61" xfId="904" applyNumberFormat="1" applyFont="1" applyFill="1" applyBorder="1" applyAlignment="1">
      <alignment horizontal="left" vertical="center"/>
    </xf>
    <xf numFmtId="203" fontId="86" fillId="73" borderId="62" xfId="904" applyNumberFormat="1" applyFont="1" applyFill="1" applyBorder="1" applyAlignment="1">
      <alignment horizontal="left" vertical="center"/>
    </xf>
    <xf numFmtId="3" fontId="88" fillId="99" borderId="81" xfId="904" applyNumberFormat="1" applyFont="1" applyFill="1" applyBorder="1" applyAlignment="1">
      <alignment horizontal="center" vertical="center"/>
    </xf>
    <xf numFmtId="3" fontId="88" fillId="99" borderId="82" xfId="904" applyNumberFormat="1" applyFont="1" applyFill="1" applyBorder="1" applyAlignment="1">
      <alignment horizontal="center" vertical="center"/>
    </xf>
    <xf numFmtId="165" fontId="86" fillId="0" borderId="89" xfId="903" applyNumberFormat="1" applyFont="1" applyBorder="1" applyAlignment="1">
      <alignment horizontal="center"/>
    </xf>
    <xf numFmtId="0" fontId="86" fillId="97" borderId="70" xfId="0" applyFont="1" applyFill="1" applyBorder="1" applyAlignment="1">
      <alignment horizontal="left" vertical="center"/>
    </xf>
    <xf numFmtId="0" fontId="86" fillId="97" borderId="67" xfId="0" applyFont="1" applyFill="1" applyBorder="1" applyAlignment="1">
      <alignment horizontal="left" vertical="center"/>
    </xf>
    <xf numFmtId="0" fontId="86" fillId="97" borderId="68" xfId="0" applyFont="1" applyFill="1" applyBorder="1" applyAlignment="1">
      <alignment horizontal="center" vertical="center"/>
    </xf>
    <xf numFmtId="0" fontId="86" fillId="97" borderId="69" xfId="0" applyFont="1" applyFill="1" applyBorder="1" applyAlignment="1">
      <alignment horizontal="center" vertical="center"/>
    </xf>
  </cellXfs>
  <cellStyles count="1706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Bueno" xfId="410" builtinId="26" customBuiltin="1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1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Hipervínculo" xfId="1704" builtinId="8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" xfId="1700" builtinId="6"/>
    <cellStyle name="Millares [0] 2" xfId="1703"/>
    <cellStyle name="Millares [0] 2 2" xfId="829"/>
    <cellStyle name="Millares [0] 3" xfId="1705"/>
    <cellStyle name="Millares 2" xfId="830"/>
    <cellStyle name="Millares 3" xfId="831"/>
    <cellStyle name="Millares 3 2" xfId="832"/>
    <cellStyle name="Millares 4" xfId="833"/>
    <cellStyle name="Millares 5" xfId="834"/>
    <cellStyle name="Millares 6" xfId="1702"/>
    <cellStyle name="Millares 7" xfId="835"/>
    <cellStyle name="Millares_Analisis Razonado diciemb 08" xfId="836"/>
    <cellStyle name="Moneda [0] 2 2" xfId="837"/>
    <cellStyle name="Moneda 2" xfId="838"/>
    <cellStyle name="Moneda 2 2" xfId="839"/>
    <cellStyle name="Moneda 2 3" xfId="840"/>
    <cellStyle name="Nag?ówek 1" xfId="841"/>
    <cellStyle name="Nag?ówek 2" xfId="842"/>
    <cellStyle name="Nag?ówek 3" xfId="843"/>
    <cellStyle name="Nag?ówek 4" xfId="844"/>
    <cellStyle name="Nagłówek 1" xfId="845"/>
    <cellStyle name="Nagłówek 2" xfId="846"/>
    <cellStyle name="Nagłówek 3" xfId="847"/>
    <cellStyle name="Nagłówek 4" xfId="848"/>
    <cellStyle name="Neutral" xfId="849" builtinId="28" customBuiltin="1"/>
    <cellStyle name="Neutral 2" xfId="850"/>
    <cellStyle name="Neutral 2 2" xfId="851"/>
    <cellStyle name="Neutral 2 3" xfId="852"/>
    <cellStyle name="Neutral 2 4" xfId="853"/>
    <cellStyle name="Neutral 2 5" xfId="854"/>
    <cellStyle name="Neutral 2 6" xfId="855"/>
    <cellStyle name="Neutral 3" xfId="856"/>
    <cellStyle name="Neutral 3 2" xfId="857"/>
    <cellStyle name="Neutral 3 3" xfId="858"/>
    <cellStyle name="Neutral 3 4" xfId="859"/>
    <cellStyle name="Neutral 3 5" xfId="860"/>
    <cellStyle name="Neutral 4" xfId="861"/>
    <cellStyle name="Neutral 4 2" xfId="862"/>
    <cellStyle name="Neutral 4 3" xfId="863"/>
    <cellStyle name="Neutral 4 4" xfId="864"/>
    <cellStyle name="Neutral 4 5" xfId="865"/>
    <cellStyle name="Neutral 5" xfId="866"/>
    <cellStyle name="Neutral 5 2" xfId="867"/>
    <cellStyle name="Neutral 5 3" xfId="868"/>
    <cellStyle name="Neutral 5 4" xfId="869"/>
    <cellStyle name="Neutral 5 5" xfId="870"/>
    <cellStyle name="Neutral 6" xfId="871"/>
    <cellStyle name="Neutral 6 2" xfId="872"/>
    <cellStyle name="Neutral 7" xfId="873"/>
    <cellStyle name="Neutral 8" xfId="874"/>
    <cellStyle name="Neutral 9" xfId="875"/>
    <cellStyle name="Neutralne" xfId="876"/>
    <cellStyle name="Normal" xfId="0" builtinId="0"/>
    <cellStyle name="Normal 10" xfId="877"/>
    <cellStyle name="Normal 10 2" xfId="878"/>
    <cellStyle name="Normal 11" xfId="879"/>
    <cellStyle name="Normal 11 2" xfId="880"/>
    <cellStyle name="Normal 12" xfId="881"/>
    <cellStyle name="Normal 12 2" xfId="882"/>
    <cellStyle name="Normal 13" xfId="883"/>
    <cellStyle name="Normal 13 2" xfId="884"/>
    <cellStyle name="Normal 14" xfId="885"/>
    <cellStyle name="Normal 15" xfId="886"/>
    <cellStyle name="Normal 15 2" xfId="887"/>
    <cellStyle name="Normal 16" xfId="1698"/>
    <cellStyle name="Normal 17" xfId="888"/>
    <cellStyle name="Normal 18" xfId="1697"/>
    <cellStyle name="Normal 2" xfId="889"/>
    <cellStyle name="Normal 2 10" xfId="890"/>
    <cellStyle name="Normal 2 11" xfId="891"/>
    <cellStyle name="Normal 2 12" xfId="892"/>
    <cellStyle name="Normal 2 13" xfId="1701"/>
    <cellStyle name="Normal 2 2" xfId="893"/>
    <cellStyle name="Normal 2 2 2" xfId="894"/>
    <cellStyle name="Normal 2 3" xfId="895"/>
    <cellStyle name="Normal 2 4" xfId="896"/>
    <cellStyle name="Normal 2 5" xfId="897"/>
    <cellStyle name="Normal 2 6" xfId="898"/>
    <cellStyle name="Normal 2 7" xfId="899"/>
    <cellStyle name="Normal 2 8" xfId="900"/>
    <cellStyle name="Normal 2 9" xfId="901"/>
    <cellStyle name="Normal 2_Combinación de negocios - AA-IAMv3" xfId="902"/>
    <cellStyle name="Normal 3" xfId="903"/>
    <cellStyle name="Normal 3 2" xfId="904"/>
    <cellStyle name="Normal 4" xfId="905"/>
    <cellStyle name="Normal 5" xfId="906"/>
    <cellStyle name="Normal 6" xfId="907"/>
    <cellStyle name="Normal 6 2" xfId="908"/>
    <cellStyle name="Normal 7" xfId="909"/>
    <cellStyle name="Normal 8" xfId="910"/>
    <cellStyle name="Normal 9" xfId="911"/>
    <cellStyle name="Notas" xfId="912" builtinId="10" customBuiltin="1"/>
    <cellStyle name="Notas 10" xfId="913"/>
    <cellStyle name="Notas 2" xfId="914"/>
    <cellStyle name="Notas 2 2" xfId="915"/>
    <cellStyle name="Notas 2 3" xfId="916"/>
    <cellStyle name="Notas 2 4" xfId="917"/>
    <cellStyle name="Notas 2 5" xfId="918"/>
    <cellStyle name="Notas 2 6" xfId="919"/>
    <cellStyle name="Notas 3" xfId="920"/>
    <cellStyle name="Notas 3 2" xfId="921"/>
    <cellStyle name="Notas 3 3" xfId="922"/>
    <cellStyle name="Notas 3 4" xfId="923"/>
    <cellStyle name="Notas 3 5" xfId="924"/>
    <cellStyle name="Notas 4" xfId="925"/>
    <cellStyle name="Notas 4 2" xfId="926"/>
    <cellStyle name="Notas 4 3" xfId="927"/>
    <cellStyle name="Notas 4 4" xfId="928"/>
    <cellStyle name="Notas 4 5" xfId="929"/>
    <cellStyle name="Notas 5" xfId="930"/>
    <cellStyle name="Notas 5 2" xfId="931"/>
    <cellStyle name="Notas 5 3" xfId="932"/>
    <cellStyle name="Notas 5 4" xfId="933"/>
    <cellStyle name="Notas 5 5" xfId="934"/>
    <cellStyle name="Notas 6" xfId="935"/>
    <cellStyle name="Notas 6 2" xfId="936"/>
    <cellStyle name="Notas 7" xfId="937"/>
    <cellStyle name="Notas 8" xfId="938"/>
    <cellStyle name="Notas 9" xfId="939"/>
    <cellStyle name="Note" xfId="940"/>
    <cellStyle name="Note 2" xfId="941"/>
    <cellStyle name="Note 3" xfId="942"/>
    <cellStyle name="Note 4" xfId="943"/>
    <cellStyle name="Note 5" xfId="944"/>
    <cellStyle name="Note 6" xfId="945"/>
    <cellStyle name="Note 7" xfId="946"/>
    <cellStyle name="Note 8" xfId="947"/>
    <cellStyle name="Obliczenia" xfId="948"/>
    <cellStyle name="Output" xfId="949"/>
    <cellStyle name="Porcentaje" xfId="950" builtinId="5"/>
    <cellStyle name="Porcentaje 2" xfId="1699"/>
    <cellStyle name="Porcentual 10" xfId="951"/>
    <cellStyle name="Porcentual 10 2" xfId="952"/>
    <cellStyle name="Porcentual 11" xfId="953"/>
    <cellStyle name="Porcentual 11 2" xfId="954"/>
    <cellStyle name="Porcentual 2" xfId="955"/>
    <cellStyle name="Porcentual 2 2" xfId="956"/>
    <cellStyle name="Porcentual 3" xfId="957"/>
    <cellStyle name="Porcentual 4" xfId="958"/>
    <cellStyle name="Porcentual 4 2" xfId="959"/>
    <cellStyle name="Porcentual 5" xfId="960"/>
    <cellStyle name="Porcentual 5 2" xfId="961"/>
    <cellStyle name="Porcentual 6" xfId="962"/>
    <cellStyle name="Porcentual 7" xfId="963"/>
    <cellStyle name="Porcentual 7 2" xfId="964"/>
    <cellStyle name="Porcentual 8" xfId="965"/>
    <cellStyle name="Porcentual 8 2" xfId="966"/>
    <cellStyle name="Porcentual 9" xfId="967"/>
    <cellStyle name="Salida" xfId="968" builtinId="21" customBuiltin="1"/>
    <cellStyle name="Salida 2" xfId="969"/>
    <cellStyle name="Salida 2 2" xfId="970"/>
    <cellStyle name="Salida 2 3" xfId="971"/>
    <cellStyle name="Salida 2 4" xfId="972"/>
    <cellStyle name="Salida 2 5" xfId="973"/>
    <cellStyle name="Salida 2 6" xfId="974"/>
    <cellStyle name="Salida 3" xfId="975"/>
    <cellStyle name="Salida 3 2" xfId="976"/>
    <cellStyle name="Salida 3 3" xfId="977"/>
    <cellStyle name="Salida 3 4" xfId="978"/>
    <cellStyle name="Salida 3 5" xfId="979"/>
    <cellStyle name="Salida 4" xfId="980"/>
    <cellStyle name="Salida 4 2" xfId="981"/>
    <cellStyle name="Salida 4 3" xfId="982"/>
    <cellStyle name="Salida 4 4" xfId="983"/>
    <cellStyle name="Salida 4 5" xfId="984"/>
    <cellStyle name="Salida 5" xfId="985"/>
    <cellStyle name="Salida 5 2" xfId="986"/>
    <cellStyle name="Salida 5 3" xfId="987"/>
    <cellStyle name="Salida 5 4" xfId="988"/>
    <cellStyle name="Salida 5 5" xfId="989"/>
    <cellStyle name="Salida 6" xfId="990"/>
    <cellStyle name="Salida 6 2" xfId="991"/>
    <cellStyle name="Salida 7" xfId="992"/>
    <cellStyle name="Salida 8" xfId="993"/>
    <cellStyle name="Salida 9" xfId="994"/>
    <cellStyle name="SAPBEXaggData" xfId="995"/>
    <cellStyle name="SAPBEXaggData 10" xfId="996"/>
    <cellStyle name="SAPBEXaggData 11" xfId="997"/>
    <cellStyle name="SAPBEXaggData 2" xfId="998"/>
    <cellStyle name="SAPBEXaggData 2 2" xfId="999"/>
    <cellStyle name="SAPBEXaggData 2 2 2" xfId="1000"/>
    <cellStyle name="SAPBEXaggData 3" xfId="1001"/>
    <cellStyle name="SAPBEXaggData 4" xfId="1002"/>
    <cellStyle name="SAPBEXaggData 5" xfId="1003"/>
    <cellStyle name="SAPBEXaggData 6" xfId="1004"/>
    <cellStyle name="SAPBEXaggData 7" xfId="1005"/>
    <cellStyle name="SAPBEXaggData 8" xfId="1006"/>
    <cellStyle name="SAPBEXaggData 9" xfId="1007"/>
    <cellStyle name="SAPBEXaggData_gxaccion, 68" xfId="1008"/>
    <cellStyle name="SAPBEXaggDataEmph" xfId="1009"/>
    <cellStyle name="SAPBEXaggDataEmph 10" xfId="1010"/>
    <cellStyle name="SAPBEXaggDataEmph 11" xfId="1011"/>
    <cellStyle name="SAPBEXaggDataEmph 2" xfId="1012"/>
    <cellStyle name="SAPBEXaggDataEmph 2 2" xfId="1013"/>
    <cellStyle name="SAPBEXaggDataEmph 2 2 2" xfId="1014"/>
    <cellStyle name="SAPBEXaggDataEmph 3" xfId="1015"/>
    <cellStyle name="SAPBEXaggDataEmph 4" xfId="1016"/>
    <cellStyle name="SAPBEXaggDataEmph 5" xfId="1017"/>
    <cellStyle name="SAPBEXaggDataEmph 6" xfId="1018"/>
    <cellStyle name="SAPBEXaggDataEmph 7" xfId="1019"/>
    <cellStyle name="SAPBEXaggDataEmph 8" xfId="1020"/>
    <cellStyle name="SAPBEXaggDataEmph 9" xfId="1021"/>
    <cellStyle name="SAPBEXaggDataEmph_valor justo.junio2010" xfId="1022"/>
    <cellStyle name="SAPBEXaggItem" xfId="1023"/>
    <cellStyle name="SAPBEXaggItem 10" xfId="1024"/>
    <cellStyle name="SAPBEXaggItem 11" xfId="1025"/>
    <cellStyle name="SAPBEXaggItem 2" xfId="1026"/>
    <cellStyle name="SAPBEXaggItem 2 2" xfId="1027"/>
    <cellStyle name="SAPBEXaggItem 2 2 2" xfId="1028"/>
    <cellStyle name="SAPBEXaggItem 3" xfId="1029"/>
    <cellStyle name="SAPBEXaggItem 4" xfId="1030"/>
    <cellStyle name="SAPBEXaggItem 5" xfId="1031"/>
    <cellStyle name="SAPBEXaggItem 6" xfId="1032"/>
    <cellStyle name="SAPBEXaggItem 7" xfId="1033"/>
    <cellStyle name="SAPBEXaggItem 8" xfId="1034"/>
    <cellStyle name="SAPBEXaggItem 9" xfId="1035"/>
    <cellStyle name="SAPBEXaggItem_gxaccion, 68" xfId="1036"/>
    <cellStyle name="SAPBEXaggItemX" xfId="1037"/>
    <cellStyle name="SAPBEXaggItemX 10" xfId="1038"/>
    <cellStyle name="SAPBEXaggItemX 11" xfId="1039"/>
    <cellStyle name="SAPBEXaggItemX 2" xfId="1040"/>
    <cellStyle name="SAPBEXaggItemX 2 2" xfId="1041"/>
    <cellStyle name="SAPBEXaggItemX 2 2 2" xfId="1042"/>
    <cellStyle name="SAPBEXaggItemX 3" xfId="1043"/>
    <cellStyle name="SAPBEXaggItemX 4" xfId="1044"/>
    <cellStyle name="SAPBEXaggItemX 5" xfId="1045"/>
    <cellStyle name="SAPBEXaggItemX 6" xfId="1046"/>
    <cellStyle name="SAPBEXaggItemX 7" xfId="1047"/>
    <cellStyle name="SAPBEXaggItemX 8" xfId="1048"/>
    <cellStyle name="SAPBEXaggItemX 9" xfId="1049"/>
    <cellStyle name="SAPBEXaggItemX_valor justo.junio2010" xfId="1050"/>
    <cellStyle name="SAPBEXchaText" xfId="1051"/>
    <cellStyle name="SAPBEXchaText 10" xfId="1052"/>
    <cellStyle name="SAPBEXchaText 11" xfId="1053"/>
    <cellStyle name="SAPBEXchaText 2" xfId="1054"/>
    <cellStyle name="SAPBEXchaText 2 2" xfId="1055"/>
    <cellStyle name="SAPBEXchaText 2 2 2" xfId="1056"/>
    <cellStyle name="SAPBEXchaText 3" xfId="1057"/>
    <cellStyle name="SAPBEXchaText 4" xfId="1058"/>
    <cellStyle name="SAPBEXchaText 5" xfId="1059"/>
    <cellStyle name="SAPBEXchaText 6" xfId="1060"/>
    <cellStyle name="SAPBEXchaText 7" xfId="1061"/>
    <cellStyle name="SAPBEXchaText 8" xfId="1062"/>
    <cellStyle name="SAPBEXchaText 9" xfId="1063"/>
    <cellStyle name="SAPBEXchaText_gxaccion, 68" xfId="1064"/>
    <cellStyle name="SAPBEXexcBad7" xfId="1065"/>
    <cellStyle name="SAPBEXexcBad7 10" xfId="1066"/>
    <cellStyle name="SAPBEXexcBad7 11" xfId="1067"/>
    <cellStyle name="SAPBEXexcBad7 2" xfId="1068"/>
    <cellStyle name="SAPBEXexcBad7 2 2" xfId="1069"/>
    <cellStyle name="SAPBEXexcBad7 2 2 2" xfId="1070"/>
    <cellStyle name="SAPBEXexcBad7 3" xfId="1071"/>
    <cellStyle name="SAPBEXexcBad7 4" xfId="1072"/>
    <cellStyle name="SAPBEXexcBad7 5" xfId="1073"/>
    <cellStyle name="SAPBEXexcBad7 6" xfId="1074"/>
    <cellStyle name="SAPBEXexcBad7 7" xfId="1075"/>
    <cellStyle name="SAPBEXexcBad7 8" xfId="1076"/>
    <cellStyle name="SAPBEXexcBad7 9" xfId="1077"/>
    <cellStyle name="SAPBEXexcBad7_gxaccion, 68" xfId="1078"/>
    <cellStyle name="SAPBEXexcBad8" xfId="1079"/>
    <cellStyle name="SAPBEXexcBad8 10" xfId="1080"/>
    <cellStyle name="SAPBEXexcBad8 11" xfId="1081"/>
    <cellStyle name="SAPBEXexcBad8 2" xfId="1082"/>
    <cellStyle name="SAPBEXexcBad8 2 2" xfId="1083"/>
    <cellStyle name="SAPBEXexcBad8 2 2 2" xfId="1084"/>
    <cellStyle name="SAPBEXexcBad8 3" xfId="1085"/>
    <cellStyle name="SAPBEXexcBad8 4" xfId="1086"/>
    <cellStyle name="SAPBEXexcBad8 5" xfId="1087"/>
    <cellStyle name="SAPBEXexcBad8 6" xfId="1088"/>
    <cellStyle name="SAPBEXexcBad8 7" xfId="1089"/>
    <cellStyle name="SAPBEXexcBad8 8" xfId="1090"/>
    <cellStyle name="SAPBEXexcBad8 9" xfId="1091"/>
    <cellStyle name="SAPBEXexcBad8_gxaccion, 68" xfId="1092"/>
    <cellStyle name="SAPBEXexcBad9" xfId="1093"/>
    <cellStyle name="SAPBEXexcBad9 10" xfId="1094"/>
    <cellStyle name="SAPBEXexcBad9 11" xfId="1095"/>
    <cellStyle name="SAPBEXexcBad9 2" xfId="1096"/>
    <cellStyle name="SAPBEXexcBad9 2 2" xfId="1097"/>
    <cellStyle name="SAPBEXexcBad9 2 2 2" xfId="1098"/>
    <cellStyle name="SAPBEXexcBad9 3" xfId="1099"/>
    <cellStyle name="SAPBEXexcBad9 4" xfId="1100"/>
    <cellStyle name="SAPBEXexcBad9 5" xfId="1101"/>
    <cellStyle name="SAPBEXexcBad9 6" xfId="1102"/>
    <cellStyle name="SAPBEXexcBad9 7" xfId="1103"/>
    <cellStyle name="SAPBEXexcBad9 8" xfId="1104"/>
    <cellStyle name="SAPBEXexcBad9 9" xfId="1105"/>
    <cellStyle name="SAPBEXexcBad9_gxaccion, 68" xfId="1106"/>
    <cellStyle name="SAPBEXexcCritical4" xfId="1107"/>
    <cellStyle name="SAPBEXexcCritical4 10" xfId="1108"/>
    <cellStyle name="SAPBEXexcCritical4 11" xfId="1109"/>
    <cellStyle name="SAPBEXexcCritical4 2" xfId="1110"/>
    <cellStyle name="SAPBEXexcCritical4 2 2" xfId="1111"/>
    <cellStyle name="SAPBEXexcCritical4 2 2 2" xfId="1112"/>
    <cellStyle name="SAPBEXexcCritical4 3" xfId="1113"/>
    <cellStyle name="SAPBEXexcCritical4 4" xfId="1114"/>
    <cellStyle name="SAPBEXexcCritical4 5" xfId="1115"/>
    <cellStyle name="SAPBEXexcCritical4 6" xfId="1116"/>
    <cellStyle name="SAPBEXexcCritical4 7" xfId="1117"/>
    <cellStyle name="SAPBEXexcCritical4 8" xfId="1118"/>
    <cellStyle name="SAPBEXexcCritical4 9" xfId="1119"/>
    <cellStyle name="SAPBEXexcCritical4_gxaccion, 68" xfId="1120"/>
    <cellStyle name="SAPBEXexcCritical5" xfId="1121"/>
    <cellStyle name="SAPBEXexcCritical5 10" xfId="1122"/>
    <cellStyle name="SAPBEXexcCritical5 11" xfId="1123"/>
    <cellStyle name="SAPBEXexcCritical5 2" xfId="1124"/>
    <cellStyle name="SAPBEXexcCritical5 2 2" xfId="1125"/>
    <cellStyle name="SAPBEXexcCritical5 2 2 2" xfId="1126"/>
    <cellStyle name="SAPBEXexcCritical5 3" xfId="1127"/>
    <cellStyle name="SAPBEXexcCritical5 4" xfId="1128"/>
    <cellStyle name="SAPBEXexcCritical5 5" xfId="1129"/>
    <cellStyle name="SAPBEXexcCritical5 6" xfId="1130"/>
    <cellStyle name="SAPBEXexcCritical5 7" xfId="1131"/>
    <cellStyle name="SAPBEXexcCritical5 8" xfId="1132"/>
    <cellStyle name="SAPBEXexcCritical5 9" xfId="1133"/>
    <cellStyle name="SAPBEXexcCritical5_gxaccion, 68" xfId="1134"/>
    <cellStyle name="SAPBEXexcCritical6" xfId="1135"/>
    <cellStyle name="SAPBEXexcCritical6 10" xfId="1136"/>
    <cellStyle name="SAPBEXexcCritical6 11" xfId="1137"/>
    <cellStyle name="SAPBEXexcCritical6 2" xfId="1138"/>
    <cellStyle name="SAPBEXexcCritical6 2 2" xfId="1139"/>
    <cellStyle name="SAPBEXexcCritical6 2 2 2" xfId="1140"/>
    <cellStyle name="SAPBEXexcCritical6 3" xfId="1141"/>
    <cellStyle name="SAPBEXexcCritical6 4" xfId="1142"/>
    <cellStyle name="SAPBEXexcCritical6 5" xfId="1143"/>
    <cellStyle name="SAPBEXexcCritical6 6" xfId="1144"/>
    <cellStyle name="SAPBEXexcCritical6 7" xfId="1145"/>
    <cellStyle name="SAPBEXexcCritical6 8" xfId="1146"/>
    <cellStyle name="SAPBEXexcCritical6 9" xfId="1147"/>
    <cellStyle name="SAPBEXexcCritical6_gxaccion, 68" xfId="1148"/>
    <cellStyle name="SAPBEXexcGood1" xfId="1149"/>
    <cellStyle name="SAPBEXexcGood1 10" xfId="1150"/>
    <cellStyle name="SAPBEXexcGood1 11" xfId="1151"/>
    <cellStyle name="SAPBEXexcGood1 2" xfId="1152"/>
    <cellStyle name="SAPBEXexcGood1 2 2" xfId="1153"/>
    <cellStyle name="SAPBEXexcGood1 2 2 2" xfId="1154"/>
    <cellStyle name="SAPBEXexcGood1 3" xfId="1155"/>
    <cellStyle name="SAPBEXexcGood1 4" xfId="1156"/>
    <cellStyle name="SAPBEXexcGood1 5" xfId="1157"/>
    <cellStyle name="SAPBEXexcGood1 6" xfId="1158"/>
    <cellStyle name="SAPBEXexcGood1 7" xfId="1159"/>
    <cellStyle name="SAPBEXexcGood1 8" xfId="1160"/>
    <cellStyle name="SAPBEXexcGood1 9" xfId="1161"/>
    <cellStyle name="SAPBEXexcGood1_gxaccion, 68" xfId="1162"/>
    <cellStyle name="SAPBEXexcGood2" xfId="1163"/>
    <cellStyle name="SAPBEXexcGood2 10" xfId="1164"/>
    <cellStyle name="SAPBEXexcGood2 11" xfId="1165"/>
    <cellStyle name="SAPBEXexcGood2 2" xfId="1166"/>
    <cellStyle name="SAPBEXexcGood2 2 2" xfId="1167"/>
    <cellStyle name="SAPBEXexcGood2 2 2 2" xfId="1168"/>
    <cellStyle name="SAPBEXexcGood2 3" xfId="1169"/>
    <cellStyle name="SAPBEXexcGood2 4" xfId="1170"/>
    <cellStyle name="SAPBEXexcGood2 5" xfId="1171"/>
    <cellStyle name="SAPBEXexcGood2 6" xfId="1172"/>
    <cellStyle name="SAPBEXexcGood2 7" xfId="1173"/>
    <cellStyle name="SAPBEXexcGood2 8" xfId="1174"/>
    <cellStyle name="SAPBEXexcGood2 9" xfId="1175"/>
    <cellStyle name="SAPBEXexcGood2_gxaccion, 68" xfId="1176"/>
    <cellStyle name="SAPBEXexcGood3" xfId="1177"/>
    <cellStyle name="SAPBEXexcGood3 10" xfId="1178"/>
    <cellStyle name="SAPBEXexcGood3 11" xfId="1179"/>
    <cellStyle name="SAPBEXexcGood3 2" xfId="1180"/>
    <cellStyle name="SAPBEXexcGood3 2 2" xfId="1181"/>
    <cellStyle name="SAPBEXexcGood3 2 2 2" xfId="1182"/>
    <cellStyle name="SAPBEXexcGood3 3" xfId="1183"/>
    <cellStyle name="SAPBEXexcGood3 4" xfId="1184"/>
    <cellStyle name="SAPBEXexcGood3 5" xfId="1185"/>
    <cellStyle name="SAPBEXexcGood3 6" xfId="1186"/>
    <cellStyle name="SAPBEXexcGood3 7" xfId="1187"/>
    <cellStyle name="SAPBEXexcGood3 8" xfId="1188"/>
    <cellStyle name="SAPBEXexcGood3 9" xfId="1189"/>
    <cellStyle name="SAPBEXexcGood3_gxaccion, 68" xfId="1190"/>
    <cellStyle name="SAPBEXfilterDrill" xfId="1191"/>
    <cellStyle name="SAPBEXfilterDrill 10" xfId="1192"/>
    <cellStyle name="SAPBEXfilterDrill 11" xfId="1193"/>
    <cellStyle name="SAPBEXfilterDrill 2" xfId="1194"/>
    <cellStyle name="SAPBEXfilterDrill 2 2" xfId="1195"/>
    <cellStyle name="SAPBEXfilterDrill 2 2 2" xfId="1196"/>
    <cellStyle name="SAPBEXfilterDrill 3" xfId="1197"/>
    <cellStyle name="SAPBEXfilterDrill 4" xfId="1198"/>
    <cellStyle name="SAPBEXfilterDrill 5" xfId="1199"/>
    <cellStyle name="SAPBEXfilterDrill 6" xfId="1200"/>
    <cellStyle name="SAPBEXfilterDrill 7" xfId="1201"/>
    <cellStyle name="SAPBEXfilterDrill 8" xfId="1202"/>
    <cellStyle name="SAPBEXfilterDrill 9" xfId="1203"/>
    <cellStyle name="SAPBEXfilterDrill_gxaccion, 68" xfId="1204"/>
    <cellStyle name="SAPBEXfilterItem" xfId="1205"/>
    <cellStyle name="SAPBEXfilterItem 10" xfId="1206"/>
    <cellStyle name="SAPBEXfilterItem 11" xfId="1207"/>
    <cellStyle name="SAPBEXfilterItem 2" xfId="1208"/>
    <cellStyle name="SAPBEXfilterItem 2 2" xfId="1209"/>
    <cellStyle name="SAPBEXfilterItem 2 2 2" xfId="1210"/>
    <cellStyle name="SAPBEXfilterItem 3" xfId="1211"/>
    <cellStyle name="SAPBEXfilterItem 4" xfId="1212"/>
    <cellStyle name="SAPBEXfilterItem 5" xfId="1213"/>
    <cellStyle name="SAPBEXfilterItem 6" xfId="1214"/>
    <cellStyle name="SAPBEXfilterItem 7" xfId="1215"/>
    <cellStyle name="SAPBEXfilterItem 8" xfId="1216"/>
    <cellStyle name="SAPBEXfilterItem 9" xfId="1217"/>
    <cellStyle name="SAPBEXfilterText" xfId="1218"/>
    <cellStyle name="SAPBEXfilterText 10" xfId="1219"/>
    <cellStyle name="SAPBEXfilterText 11" xfId="1220"/>
    <cellStyle name="SAPBEXfilterText 2" xfId="1221"/>
    <cellStyle name="SAPBEXfilterText 2 2" xfId="1222"/>
    <cellStyle name="SAPBEXfilterText 2 2 2" xfId="1223"/>
    <cellStyle name="SAPBEXfilterText 3" xfId="1224"/>
    <cellStyle name="SAPBEXfilterText 4" xfId="1225"/>
    <cellStyle name="SAPBEXfilterText 5" xfId="1226"/>
    <cellStyle name="SAPBEXfilterText 6" xfId="1227"/>
    <cellStyle name="SAPBEXfilterText 7" xfId="1228"/>
    <cellStyle name="SAPBEXfilterText 8" xfId="1229"/>
    <cellStyle name="SAPBEXfilterText 9" xfId="1230"/>
    <cellStyle name="SAPBEXformats" xfId="1231"/>
    <cellStyle name="SAPBEXformats 10" xfId="1232"/>
    <cellStyle name="SAPBEXformats 11" xfId="1233"/>
    <cellStyle name="SAPBEXformats 2" xfId="1234"/>
    <cellStyle name="SAPBEXformats 2 2" xfId="1235"/>
    <cellStyle name="SAPBEXformats 2 2 2" xfId="1236"/>
    <cellStyle name="SAPBEXformats 3" xfId="1237"/>
    <cellStyle name="SAPBEXformats 4" xfId="1238"/>
    <cellStyle name="SAPBEXformats 5" xfId="1239"/>
    <cellStyle name="SAPBEXformats 6" xfId="1240"/>
    <cellStyle name="SAPBEXformats 7" xfId="1241"/>
    <cellStyle name="SAPBEXformats 8" xfId="1242"/>
    <cellStyle name="SAPBEXformats 9" xfId="1243"/>
    <cellStyle name="SAPBEXformats_gxaccion, 68" xfId="1244"/>
    <cellStyle name="SAPBEXheaderItem" xfId="1245"/>
    <cellStyle name="SAPBEXheaderItem 10" xfId="1246"/>
    <cellStyle name="SAPBEXheaderItem 11" xfId="1247"/>
    <cellStyle name="SAPBEXheaderItem 2" xfId="1248"/>
    <cellStyle name="SAPBEXheaderItem 2 2" xfId="1249"/>
    <cellStyle name="SAPBEXheaderItem 2 2 2" xfId="1250"/>
    <cellStyle name="SAPBEXheaderItem 3" xfId="1251"/>
    <cellStyle name="SAPBEXheaderItem 4" xfId="1252"/>
    <cellStyle name="SAPBEXheaderItem 5" xfId="1253"/>
    <cellStyle name="SAPBEXheaderItem 6" xfId="1254"/>
    <cellStyle name="SAPBEXheaderItem 7" xfId="1255"/>
    <cellStyle name="SAPBEXheaderItem 8" xfId="1256"/>
    <cellStyle name="SAPBEXheaderItem 9" xfId="1257"/>
    <cellStyle name="SAPBEXheaderItem_gxaccion, 68" xfId="1258"/>
    <cellStyle name="SAPBEXheaderText" xfId="1259"/>
    <cellStyle name="SAPBEXheaderText 10" xfId="1260"/>
    <cellStyle name="SAPBEXheaderText 11" xfId="1261"/>
    <cellStyle name="SAPBEXheaderText 2" xfId="1262"/>
    <cellStyle name="SAPBEXheaderText 2 2" xfId="1263"/>
    <cellStyle name="SAPBEXheaderText 2 2 2" xfId="1264"/>
    <cellStyle name="SAPBEXheaderText 3" xfId="1265"/>
    <cellStyle name="SAPBEXheaderText 4" xfId="1266"/>
    <cellStyle name="SAPBEXheaderText 5" xfId="1267"/>
    <cellStyle name="SAPBEXheaderText 6" xfId="1268"/>
    <cellStyle name="SAPBEXheaderText 7" xfId="1269"/>
    <cellStyle name="SAPBEXheaderText 8" xfId="1270"/>
    <cellStyle name="SAPBEXheaderText 9" xfId="1271"/>
    <cellStyle name="SAPBEXheaderText_gxaccion, 68" xfId="1272"/>
    <cellStyle name="SAPBEXHLevel0" xfId="1273"/>
    <cellStyle name="SAPBEXHLevel0 10" xfId="1274"/>
    <cellStyle name="SAPBEXHLevel0 11" xfId="1275"/>
    <cellStyle name="SAPBEXHLevel0 2" xfId="1276"/>
    <cellStyle name="SAPBEXHLevel0 2 2" xfId="1277"/>
    <cellStyle name="SAPBEXHLevel0 2 2 2" xfId="1278"/>
    <cellStyle name="SAPBEXHLevel0 3" xfId="1279"/>
    <cellStyle name="SAPBEXHLevel0 4" xfId="1280"/>
    <cellStyle name="SAPBEXHLevel0 5" xfId="1281"/>
    <cellStyle name="SAPBEXHLevel0 6" xfId="1282"/>
    <cellStyle name="SAPBEXHLevel0 7" xfId="1283"/>
    <cellStyle name="SAPBEXHLevel0 8" xfId="1284"/>
    <cellStyle name="SAPBEXHLevel0 9" xfId="1285"/>
    <cellStyle name="SAPBEXHLevel0_gxaccion, 68" xfId="1286"/>
    <cellStyle name="SAPBEXHLevel0X" xfId="1287"/>
    <cellStyle name="SAPBEXHLevel0X 10" xfId="1288"/>
    <cellStyle name="SAPBEXHLevel0X 11" xfId="1289"/>
    <cellStyle name="SAPBEXHLevel0X 2" xfId="1290"/>
    <cellStyle name="SAPBEXHLevel0X 2 2" xfId="1291"/>
    <cellStyle name="SAPBEXHLevel0X 2 2 2" xfId="1292"/>
    <cellStyle name="SAPBEXHLevel0X 3" xfId="1293"/>
    <cellStyle name="SAPBEXHLevel0X 4" xfId="1294"/>
    <cellStyle name="SAPBEXHLevel0X 5" xfId="1295"/>
    <cellStyle name="SAPBEXHLevel0X 6" xfId="1296"/>
    <cellStyle name="SAPBEXHLevel0X 7" xfId="1297"/>
    <cellStyle name="SAPBEXHLevel0X 8" xfId="1298"/>
    <cellStyle name="SAPBEXHLevel0X 9" xfId="1299"/>
    <cellStyle name="SAPBEXHLevel0X_gxaccion, 68" xfId="1300"/>
    <cellStyle name="SAPBEXHLevel1" xfId="1301"/>
    <cellStyle name="SAPBEXHLevel1 10" xfId="1302"/>
    <cellStyle name="SAPBEXHLevel1 11" xfId="1303"/>
    <cellStyle name="SAPBEXHLevel1 2" xfId="1304"/>
    <cellStyle name="SAPBEXHLevel1 2 2" xfId="1305"/>
    <cellStyle name="SAPBEXHLevel1 2 2 2" xfId="1306"/>
    <cellStyle name="SAPBEXHLevel1 3" xfId="1307"/>
    <cellStyle name="SAPBEXHLevel1 4" xfId="1308"/>
    <cellStyle name="SAPBEXHLevel1 5" xfId="1309"/>
    <cellStyle name="SAPBEXHLevel1 6" xfId="1310"/>
    <cellStyle name="SAPBEXHLevel1 7" xfId="1311"/>
    <cellStyle name="SAPBEXHLevel1 8" xfId="1312"/>
    <cellStyle name="SAPBEXHLevel1 9" xfId="1313"/>
    <cellStyle name="SAPBEXHLevel1_gxaccion, 68" xfId="1314"/>
    <cellStyle name="SAPBEXHLevel1X" xfId="1315"/>
    <cellStyle name="SAPBEXHLevel1X 10" xfId="1316"/>
    <cellStyle name="SAPBEXHLevel1X 11" xfId="1317"/>
    <cellStyle name="SAPBEXHLevel1X 2" xfId="1318"/>
    <cellStyle name="SAPBEXHLevel1X 2 2" xfId="1319"/>
    <cellStyle name="SAPBEXHLevel1X 2 2 2" xfId="1320"/>
    <cellStyle name="SAPBEXHLevel1X 3" xfId="1321"/>
    <cellStyle name="SAPBEXHLevel1X 4" xfId="1322"/>
    <cellStyle name="SAPBEXHLevel1X 5" xfId="1323"/>
    <cellStyle name="SAPBEXHLevel1X 6" xfId="1324"/>
    <cellStyle name="SAPBEXHLevel1X 7" xfId="1325"/>
    <cellStyle name="SAPBEXHLevel1X 8" xfId="1326"/>
    <cellStyle name="SAPBEXHLevel1X 9" xfId="1327"/>
    <cellStyle name="SAPBEXHLevel1X_gxaccion, 68" xfId="1328"/>
    <cellStyle name="SAPBEXHLevel2" xfId="1329"/>
    <cellStyle name="SAPBEXHLevel2 10" xfId="1330"/>
    <cellStyle name="SAPBEXHLevel2 11" xfId="1331"/>
    <cellStyle name="SAPBEXHLevel2 2" xfId="1332"/>
    <cellStyle name="SAPBEXHLevel2 2 2" xfId="1333"/>
    <cellStyle name="SAPBEXHLevel2 2 2 2" xfId="1334"/>
    <cellStyle name="SAPBEXHLevel2 3" xfId="1335"/>
    <cellStyle name="SAPBEXHLevel2 4" xfId="1336"/>
    <cellStyle name="SAPBEXHLevel2 5" xfId="1337"/>
    <cellStyle name="SAPBEXHLevel2 6" xfId="1338"/>
    <cellStyle name="SAPBEXHLevel2 7" xfId="1339"/>
    <cellStyle name="SAPBEXHLevel2 8" xfId="1340"/>
    <cellStyle name="SAPBEXHLevel2 9" xfId="1341"/>
    <cellStyle name="SAPBEXHLevel2_gxaccion, 68" xfId="1342"/>
    <cellStyle name="SAPBEXHLevel2X" xfId="1343"/>
    <cellStyle name="SAPBEXHLevel2X 10" xfId="1344"/>
    <cellStyle name="SAPBEXHLevel2X 11" xfId="1345"/>
    <cellStyle name="SAPBEXHLevel2X 2" xfId="1346"/>
    <cellStyle name="SAPBEXHLevel2X 2 2" xfId="1347"/>
    <cellStyle name="SAPBEXHLevel2X 2 2 2" xfId="1348"/>
    <cellStyle name="SAPBEXHLevel2X 3" xfId="1349"/>
    <cellStyle name="SAPBEXHLevel2X 4" xfId="1350"/>
    <cellStyle name="SAPBEXHLevel2X 5" xfId="1351"/>
    <cellStyle name="SAPBEXHLevel2X 6" xfId="1352"/>
    <cellStyle name="SAPBEXHLevel2X 7" xfId="1353"/>
    <cellStyle name="SAPBEXHLevel2X 8" xfId="1354"/>
    <cellStyle name="SAPBEXHLevel2X 9" xfId="1355"/>
    <cellStyle name="SAPBEXHLevel2X_gxaccion, 68" xfId="1356"/>
    <cellStyle name="SAPBEXHLevel3" xfId="1357"/>
    <cellStyle name="SAPBEXHLevel3 10" xfId="1358"/>
    <cellStyle name="SAPBEXHLevel3 11" xfId="1359"/>
    <cellStyle name="SAPBEXHLevel3 2" xfId="1360"/>
    <cellStyle name="SAPBEXHLevel3 2 2" xfId="1361"/>
    <cellStyle name="SAPBEXHLevel3 2 2 2" xfId="1362"/>
    <cellStyle name="SAPBEXHLevel3 3" xfId="1363"/>
    <cellStyle name="SAPBEXHLevel3 4" xfId="1364"/>
    <cellStyle name="SAPBEXHLevel3 5" xfId="1365"/>
    <cellStyle name="SAPBEXHLevel3 6" xfId="1366"/>
    <cellStyle name="SAPBEXHLevel3 7" xfId="1367"/>
    <cellStyle name="SAPBEXHLevel3 8" xfId="1368"/>
    <cellStyle name="SAPBEXHLevel3 9" xfId="1369"/>
    <cellStyle name="SAPBEXHLevel3_gxaccion, 68" xfId="1370"/>
    <cellStyle name="SAPBEXHLevel3X" xfId="1371"/>
    <cellStyle name="SAPBEXHLevel3X 10" xfId="1372"/>
    <cellStyle name="SAPBEXHLevel3X 11" xfId="1373"/>
    <cellStyle name="SAPBEXHLevel3X 2" xfId="1374"/>
    <cellStyle name="SAPBEXHLevel3X 2 2" xfId="1375"/>
    <cellStyle name="SAPBEXHLevel3X 2 2 2" xfId="1376"/>
    <cellStyle name="SAPBEXHLevel3X 3" xfId="1377"/>
    <cellStyle name="SAPBEXHLevel3X 4" xfId="1378"/>
    <cellStyle name="SAPBEXHLevel3X 5" xfId="1379"/>
    <cellStyle name="SAPBEXHLevel3X 6" xfId="1380"/>
    <cellStyle name="SAPBEXHLevel3X 7" xfId="1381"/>
    <cellStyle name="SAPBEXHLevel3X 8" xfId="1382"/>
    <cellStyle name="SAPBEXHLevel3X 9" xfId="1383"/>
    <cellStyle name="SAPBEXHLevel3X_gxaccion, 68" xfId="1384"/>
    <cellStyle name="SAPBEXinputData" xfId="1385"/>
    <cellStyle name="SAPBEXinputData 10" xfId="1386"/>
    <cellStyle name="SAPBEXinputData 11" xfId="1387"/>
    <cellStyle name="SAPBEXinputData 2" xfId="1388"/>
    <cellStyle name="SAPBEXinputData 2 2" xfId="1389"/>
    <cellStyle name="SAPBEXinputData 2 2 2" xfId="1390"/>
    <cellStyle name="SAPBEXinputData 3" xfId="1391"/>
    <cellStyle name="SAPBEXinputData 4" xfId="1392"/>
    <cellStyle name="SAPBEXinputData 5" xfId="1393"/>
    <cellStyle name="SAPBEXinputData 6" xfId="1394"/>
    <cellStyle name="SAPBEXinputData 7" xfId="1395"/>
    <cellStyle name="SAPBEXinputData 8" xfId="1396"/>
    <cellStyle name="SAPBEXinputData 9" xfId="1397"/>
    <cellStyle name="SAPBEXinputData_gxaccion, 68" xfId="1398"/>
    <cellStyle name="SAPBEXItemHeader" xfId="1399"/>
    <cellStyle name="SAPBEXresData" xfId="1400"/>
    <cellStyle name="SAPBEXresData 10" xfId="1401"/>
    <cellStyle name="SAPBEXresData 11" xfId="1402"/>
    <cellStyle name="SAPBEXresData 2" xfId="1403"/>
    <cellStyle name="SAPBEXresData 2 2" xfId="1404"/>
    <cellStyle name="SAPBEXresData 2 2 2" xfId="1405"/>
    <cellStyle name="SAPBEXresData 3" xfId="1406"/>
    <cellStyle name="SAPBEXresData 4" xfId="1407"/>
    <cellStyle name="SAPBEXresData 5" xfId="1408"/>
    <cellStyle name="SAPBEXresData 6" xfId="1409"/>
    <cellStyle name="SAPBEXresData 7" xfId="1410"/>
    <cellStyle name="SAPBEXresData 8" xfId="1411"/>
    <cellStyle name="SAPBEXresData 9" xfId="1412"/>
    <cellStyle name="SAPBEXresData_valor justo.junio2010" xfId="1413"/>
    <cellStyle name="SAPBEXresDataEmph" xfId="1414"/>
    <cellStyle name="SAPBEXresDataEmph 10" xfId="1415"/>
    <cellStyle name="SAPBEXresDataEmph 11" xfId="1416"/>
    <cellStyle name="SAPBEXresDataEmph 2" xfId="1417"/>
    <cellStyle name="SAPBEXresDataEmph 2 2" xfId="1418"/>
    <cellStyle name="SAPBEXresDataEmph 2 2 2" xfId="1419"/>
    <cellStyle name="SAPBEXresDataEmph 3" xfId="1420"/>
    <cellStyle name="SAPBEXresDataEmph 4" xfId="1421"/>
    <cellStyle name="SAPBEXresDataEmph 5" xfId="1422"/>
    <cellStyle name="SAPBEXresDataEmph 6" xfId="1423"/>
    <cellStyle name="SAPBEXresDataEmph 7" xfId="1424"/>
    <cellStyle name="SAPBEXresDataEmph 8" xfId="1425"/>
    <cellStyle name="SAPBEXresDataEmph 9" xfId="1426"/>
    <cellStyle name="SAPBEXresDataEmph_valor justo.junio2010" xfId="1427"/>
    <cellStyle name="SAPBEXresItem" xfId="1428"/>
    <cellStyle name="SAPBEXresItem 10" xfId="1429"/>
    <cellStyle name="SAPBEXresItem 11" xfId="1430"/>
    <cellStyle name="SAPBEXresItem 2" xfId="1431"/>
    <cellStyle name="SAPBEXresItem 2 2" xfId="1432"/>
    <cellStyle name="SAPBEXresItem 2 2 2" xfId="1433"/>
    <cellStyle name="SAPBEXresItem 3" xfId="1434"/>
    <cellStyle name="SAPBEXresItem 4" xfId="1435"/>
    <cellStyle name="SAPBEXresItem 5" xfId="1436"/>
    <cellStyle name="SAPBEXresItem 6" xfId="1437"/>
    <cellStyle name="SAPBEXresItem 7" xfId="1438"/>
    <cellStyle name="SAPBEXresItem 8" xfId="1439"/>
    <cellStyle name="SAPBEXresItem 9" xfId="1440"/>
    <cellStyle name="SAPBEXresItem_valor justo.junio2010" xfId="1441"/>
    <cellStyle name="SAPBEXresItemX" xfId="1442"/>
    <cellStyle name="SAPBEXresItemX 10" xfId="1443"/>
    <cellStyle name="SAPBEXresItemX 11" xfId="1444"/>
    <cellStyle name="SAPBEXresItemX 2" xfId="1445"/>
    <cellStyle name="SAPBEXresItemX 2 2" xfId="1446"/>
    <cellStyle name="SAPBEXresItemX 2 2 2" xfId="1447"/>
    <cellStyle name="SAPBEXresItemX 3" xfId="1448"/>
    <cellStyle name="SAPBEXresItemX 4" xfId="1449"/>
    <cellStyle name="SAPBEXresItemX 5" xfId="1450"/>
    <cellStyle name="SAPBEXresItemX 6" xfId="1451"/>
    <cellStyle name="SAPBEXresItemX 7" xfId="1452"/>
    <cellStyle name="SAPBEXresItemX 8" xfId="1453"/>
    <cellStyle name="SAPBEXresItemX 9" xfId="1454"/>
    <cellStyle name="SAPBEXresItemX_valor justo.junio2010" xfId="1455"/>
    <cellStyle name="SAPBEXstdData" xfId="1456"/>
    <cellStyle name="SAPBEXstdData 10" xfId="1457"/>
    <cellStyle name="SAPBEXstdData 11" xfId="1458"/>
    <cellStyle name="SAPBEXstdData 2" xfId="1459"/>
    <cellStyle name="SAPBEXstdData 2 2" xfId="1460"/>
    <cellStyle name="SAPBEXstdData 2 2 2" xfId="1461"/>
    <cellStyle name="SAPBEXstdData 3" xfId="1462"/>
    <cellStyle name="SAPBEXstdData 4" xfId="1463"/>
    <cellStyle name="SAPBEXstdData 5" xfId="1464"/>
    <cellStyle name="SAPBEXstdData 6" xfId="1465"/>
    <cellStyle name="SAPBEXstdData 7" xfId="1466"/>
    <cellStyle name="SAPBEXstdData 8" xfId="1467"/>
    <cellStyle name="SAPBEXstdData 9" xfId="1468"/>
    <cellStyle name="SAPBEXstdData_gxaccion, 68" xfId="1469"/>
    <cellStyle name="SAPBEXstdDataEmph" xfId="1470"/>
    <cellStyle name="SAPBEXstdDataEmph 10" xfId="1471"/>
    <cellStyle name="SAPBEXstdDataEmph 11" xfId="1472"/>
    <cellStyle name="SAPBEXstdDataEmph 2" xfId="1473"/>
    <cellStyle name="SAPBEXstdDataEmph 2 2" xfId="1474"/>
    <cellStyle name="SAPBEXstdDataEmph 2 2 2" xfId="1475"/>
    <cellStyle name="SAPBEXstdDataEmph 3" xfId="1476"/>
    <cellStyle name="SAPBEXstdDataEmph 4" xfId="1477"/>
    <cellStyle name="SAPBEXstdDataEmph 5" xfId="1478"/>
    <cellStyle name="SAPBEXstdDataEmph 6" xfId="1479"/>
    <cellStyle name="SAPBEXstdDataEmph 7" xfId="1480"/>
    <cellStyle name="SAPBEXstdDataEmph 8" xfId="1481"/>
    <cellStyle name="SAPBEXstdDataEmph 9" xfId="1482"/>
    <cellStyle name="SAPBEXstdDataEmph_valor justo.junio2010" xfId="1483"/>
    <cellStyle name="SAPBEXstdItem" xfId="1484"/>
    <cellStyle name="SAPBEXstdItem 10" xfId="1485"/>
    <cellStyle name="SAPBEXstdItem 11" xfId="1486"/>
    <cellStyle name="SAPBEXstdItem 2" xfId="1487"/>
    <cellStyle name="SAPBEXstdItem 2 2" xfId="1488"/>
    <cellStyle name="SAPBEXstdItem 2 2 2" xfId="1489"/>
    <cellStyle name="SAPBEXstdItem 3" xfId="1490"/>
    <cellStyle name="SAPBEXstdItem 4" xfId="1491"/>
    <cellStyle name="SAPBEXstdItem 5" xfId="1492"/>
    <cellStyle name="SAPBEXstdItem 6" xfId="1493"/>
    <cellStyle name="SAPBEXstdItem 7" xfId="1494"/>
    <cellStyle name="SAPBEXstdItem 8" xfId="1495"/>
    <cellStyle name="SAPBEXstdItem 9" xfId="1496"/>
    <cellStyle name="SAPBEXstdItem_gxaccion, 68" xfId="1497"/>
    <cellStyle name="SAPBEXstdItemX" xfId="1498"/>
    <cellStyle name="SAPBEXstdItemX 10" xfId="1499"/>
    <cellStyle name="SAPBEXstdItemX 11" xfId="1500"/>
    <cellStyle name="SAPBEXstdItemX 2" xfId="1501"/>
    <cellStyle name="SAPBEXstdItemX 2 2" xfId="1502"/>
    <cellStyle name="SAPBEXstdItemX 2 2 2" xfId="1503"/>
    <cellStyle name="SAPBEXstdItemX 3" xfId="1504"/>
    <cellStyle name="SAPBEXstdItemX 4" xfId="1505"/>
    <cellStyle name="SAPBEXstdItemX 5" xfId="1506"/>
    <cellStyle name="SAPBEXstdItemX 6" xfId="1507"/>
    <cellStyle name="SAPBEXstdItemX 7" xfId="1508"/>
    <cellStyle name="SAPBEXstdItemX 8" xfId="1509"/>
    <cellStyle name="SAPBEXstdItemX 9" xfId="1510"/>
    <cellStyle name="SAPBEXstdItemX_valor justo.junio2010" xfId="1511"/>
    <cellStyle name="SAPBEXtitle" xfId="1512"/>
    <cellStyle name="SAPBEXtitle 10" xfId="1513"/>
    <cellStyle name="SAPBEXtitle 11" xfId="1514"/>
    <cellStyle name="SAPBEXtitle 2" xfId="1515"/>
    <cellStyle name="SAPBEXtitle 2 2" xfId="1516"/>
    <cellStyle name="SAPBEXtitle 2 2 2" xfId="1517"/>
    <cellStyle name="SAPBEXtitle 3" xfId="1518"/>
    <cellStyle name="SAPBEXtitle 4" xfId="1519"/>
    <cellStyle name="SAPBEXtitle 5" xfId="1520"/>
    <cellStyle name="SAPBEXtitle 6" xfId="1521"/>
    <cellStyle name="SAPBEXtitle 7" xfId="1522"/>
    <cellStyle name="SAPBEXtitle 8" xfId="1523"/>
    <cellStyle name="SAPBEXtitle 9" xfId="1524"/>
    <cellStyle name="SAPBEXunassignedItem" xfId="1525"/>
    <cellStyle name="SAPBEXunassignedItem 2" xfId="1526"/>
    <cellStyle name="SAPBEXunassignedItem 3" xfId="1527"/>
    <cellStyle name="SAPBEXunassignedItem 4" xfId="1528"/>
    <cellStyle name="SAPBEXunassignedItem 5" xfId="1529"/>
    <cellStyle name="SAPBEXundefined" xfId="1530"/>
    <cellStyle name="SAPBEXundefined 10" xfId="1531"/>
    <cellStyle name="SAPBEXundefined 11" xfId="1532"/>
    <cellStyle name="SAPBEXundefined 2" xfId="1533"/>
    <cellStyle name="SAPBEXundefined 2 2" xfId="1534"/>
    <cellStyle name="SAPBEXundefined 2 2 2" xfId="1535"/>
    <cellStyle name="SAPBEXundefined 3" xfId="1536"/>
    <cellStyle name="SAPBEXundefined 4" xfId="1537"/>
    <cellStyle name="SAPBEXundefined 5" xfId="1538"/>
    <cellStyle name="SAPBEXundefined 6" xfId="1539"/>
    <cellStyle name="SAPBEXundefined 7" xfId="1540"/>
    <cellStyle name="SAPBEXundefined 8" xfId="1541"/>
    <cellStyle name="SAPBEXundefined 9" xfId="1542"/>
    <cellStyle name="SAPBEXundefined_valor justo.junio2010" xfId="1543"/>
    <cellStyle name="Sheet Title" xfId="1544"/>
    <cellStyle name="Suma" xfId="1545"/>
    <cellStyle name="Tekst obja?nienia" xfId="1546"/>
    <cellStyle name="Tekst objaśnienia" xfId="1547"/>
    <cellStyle name="Tekst ostrze?enia" xfId="1548"/>
    <cellStyle name="Tekst ostrzeżenia" xfId="1549"/>
    <cellStyle name="Texto de advertencia" xfId="1550" builtinId="11" customBuiltin="1"/>
    <cellStyle name="Texto de advertencia 2" xfId="1551"/>
    <cellStyle name="Texto de advertencia 2 2" xfId="1552"/>
    <cellStyle name="Texto de advertencia 2 3" xfId="1553"/>
    <cellStyle name="Texto de advertencia 2 4" xfId="1554"/>
    <cellStyle name="Texto de advertencia 2 5" xfId="1555"/>
    <cellStyle name="Texto de advertencia 2 6" xfId="1556"/>
    <cellStyle name="Texto de advertencia 3" xfId="1557"/>
    <cellStyle name="Texto de advertencia 3 2" xfId="1558"/>
    <cellStyle name="Texto de advertencia 3 3" xfId="1559"/>
    <cellStyle name="Texto de advertencia 3 4" xfId="1560"/>
    <cellStyle name="Texto de advertencia 3 5" xfId="1561"/>
    <cellStyle name="Texto de advertencia 4" xfId="1562"/>
    <cellStyle name="Texto de advertencia 4 2" xfId="1563"/>
    <cellStyle name="Texto de advertencia 4 3" xfId="1564"/>
    <cellStyle name="Texto de advertencia 4 4" xfId="1565"/>
    <cellStyle name="Texto de advertencia 4 5" xfId="1566"/>
    <cellStyle name="Texto de advertencia 5" xfId="1567"/>
    <cellStyle name="Texto de advertencia 5 2" xfId="1568"/>
    <cellStyle name="Texto de advertencia 5 3" xfId="1569"/>
    <cellStyle name="Texto de advertencia 5 4" xfId="1570"/>
    <cellStyle name="Texto de advertencia 5 5" xfId="1571"/>
    <cellStyle name="Texto de advertencia 6" xfId="1572"/>
    <cellStyle name="Texto de advertencia 6 2" xfId="1573"/>
    <cellStyle name="Texto de advertencia 7" xfId="1574"/>
    <cellStyle name="Texto de advertencia 8" xfId="1575"/>
    <cellStyle name="Texto de advertencia 9" xfId="1576"/>
    <cellStyle name="Texto explicativo" xfId="1577" builtinId="53" customBuiltin="1"/>
    <cellStyle name="Texto explicativo 2 2" xfId="1578"/>
    <cellStyle name="Title" xfId="1579"/>
    <cellStyle name="Título" xfId="1580" builtinId="15" customBuiltin="1"/>
    <cellStyle name="Título 1 2" xfId="1582"/>
    <cellStyle name="Título 1 2 2" xfId="1583"/>
    <cellStyle name="Título 1 2 3" xfId="1584"/>
    <cellStyle name="Título 1 2 4" xfId="1585"/>
    <cellStyle name="Título 1 2 5" xfId="1586"/>
    <cellStyle name="Título 1 2 6" xfId="1587"/>
    <cellStyle name="Título 1 3" xfId="1588"/>
    <cellStyle name="Título 1 3 2" xfId="1589"/>
    <cellStyle name="Título 1 3 3" xfId="1590"/>
    <cellStyle name="Título 1 3 4" xfId="1591"/>
    <cellStyle name="Título 1 3 5" xfId="1592"/>
    <cellStyle name="Título 1 4" xfId="1593"/>
    <cellStyle name="Título 1 4 2" xfId="1594"/>
    <cellStyle name="Título 1 4 3" xfId="1595"/>
    <cellStyle name="Título 1 4 4" xfId="1596"/>
    <cellStyle name="Título 1 4 5" xfId="1597"/>
    <cellStyle name="Título 1 5" xfId="1598"/>
    <cellStyle name="Título 1 5 2" xfId="1599"/>
    <cellStyle name="Título 1 5 3" xfId="1600"/>
    <cellStyle name="Título 1 5 4" xfId="1601"/>
    <cellStyle name="Título 1 5 5" xfId="1602"/>
    <cellStyle name="Título 1 6" xfId="1603"/>
    <cellStyle name="Título 1 7" xfId="1604"/>
    <cellStyle name="Título 1 8" xfId="1605"/>
    <cellStyle name="Título 1 9" xfId="1606"/>
    <cellStyle name="Título 2" xfId="1607" builtinId="17" customBuiltin="1"/>
    <cellStyle name="Título 2 2" xfId="1608"/>
    <cellStyle name="Título 2 2 2" xfId="1609"/>
    <cellStyle name="Título 2 2 3" xfId="1610"/>
    <cellStyle name="Título 2 2 4" xfId="1611"/>
    <cellStyle name="Título 2 2 5" xfId="1612"/>
    <cellStyle name="Título 2 2 6" xfId="1613"/>
    <cellStyle name="Título 2 3" xfId="1614"/>
    <cellStyle name="Título 2 3 2" xfId="1615"/>
    <cellStyle name="Título 2 3 3" xfId="1616"/>
    <cellStyle name="Título 2 3 4" xfId="1617"/>
    <cellStyle name="Título 2 3 5" xfId="1618"/>
    <cellStyle name="Título 2 4" xfId="1619"/>
    <cellStyle name="Título 2 4 2" xfId="1620"/>
    <cellStyle name="Título 2 4 3" xfId="1621"/>
    <cellStyle name="Título 2 4 4" xfId="1622"/>
    <cellStyle name="Título 2 4 5" xfId="1623"/>
    <cellStyle name="Título 2 5" xfId="1624"/>
    <cellStyle name="Título 2 5 2" xfId="1625"/>
    <cellStyle name="Título 2 5 3" xfId="1626"/>
    <cellStyle name="Título 2 5 4" xfId="1627"/>
    <cellStyle name="Título 2 5 5" xfId="1628"/>
    <cellStyle name="Título 2 6" xfId="1629"/>
    <cellStyle name="Título 2 6 2" xfId="1630"/>
    <cellStyle name="Título 2 7" xfId="1631"/>
    <cellStyle name="Título 2 8" xfId="1632"/>
    <cellStyle name="Título 2 9" xfId="1633"/>
    <cellStyle name="Título 3" xfId="1634" builtinId="18" customBuiltin="1"/>
    <cellStyle name="Título 3 2" xfId="1635"/>
    <cellStyle name="Título 3 2 2" xfId="1636"/>
    <cellStyle name="Título 3 2 3" xfId="1637"/>
    <cellStyle name="Título 3 2 4" xfId="1638"/>
    <cellStyle name="Título 3 2 5" xfId="1639"/>
    <cellStyle name="Título 3 2 6" xfId="1640"/>
    <cellStyle name="Título 3 3" xfId="1641"/>
    <cellStyle name="Título 3 3 2" xfId="1642"/>
    <cellStyle name="Título 3 3 3" xfId="1643"/>
    <cellStyle name="Título 3 3 4" xfId="1644"/>
    <cellStyle name="Título 3 3 5" xfId="1645"/>
    <cellStyle name="Título 3 4" xfId="1646"/>
    <cellStyle name="Título 3 4 2" xfId="1647"/>
    <cellStyle name="Título 3 4 3" xfId="1648"/>
    <cellStyle name="Título 3 4 4" xfId="1649"/>
    <cellStyle name="Título 3 4 5" xfId="1650"/>
    <cellStyle name="Título 3 5" xfId="1651"/>
    <cellStyle name="Título 3 5 2" xfId="1652"/>
    <cellStyle name="Título 3 5 3" xfId="1653"/>
    <cellStyle name="Título 3 5 4" xfId="1654"/>
    <cellStyle name="Título 3 5 5" xfId="1655"/>
    <cellStyle name="Título 3 6" xfId="1656"/>
    <cellStyle name="Título 3 6 2" xfId="1657"/>
    <cellStyle name="Título 3 7" xfId="1658"/>
    <cellStyle name="Título 3 8" xfId="1659"/>
    <cellStyle name="Título 3 9" xfId="1660"/>
    <cellStyle name="Total" xfId="1661" builtinId="25" customBuiltin="1"/>
    <cellStyle name="Total 2" xfId="1662"/>
    <cellStyle name="Total 2 2" xfId="1663"/>
    <cellStyle name="Total 2 3" xfId="1664"/>
    <cellStyle name="Total 2 4" xfId="1665"/>
    <cellStyle name="Total 2 5" xfId="1666"/>
    <cellStyle name="Total 2 6" xfId="1667"/>
    <cellStyle name="Total 3" xfId="1668"/>
    <cellStyle name="Total 3 2" xfId="1669"/>
    <cellStyle name="Total 3 3" xfId="1670"/>
    <cellStyle name="Total 3 4" xfId="1671"/>
    <cellStyle name="Total 3 5" xfId="1672"/>
    <cellStyle name="Total 4" xfId="1673"/>
    <cellStyle name="Total 4 2" xfId="1674"/>
    <cellStyle name="Total 4 3" xfId="1675"/>
    <cellStyle name="Total 4 4" xfId="1676"/>
    <cellStyle name="Total 4 5" xfId="1677"/>
    <cellStyle name="Total 5" xfId="1678"/>
    <cellStyle name="Total 5 2" xfId="1679"/>
    <cellStyle name="Total 5 3" xfId="1680"/>
    <cellStyle name="Total 5 4" xfId="1681"/>
    <cellStyle name="Total 5 5" xfId="1682"/>
    <cellStyle name="Total 6" xfId="1683"/>
    <cellStyle name="Total 7" xfId="1684"/>
    <cellStyle name="Total 8" xfId="1685"/>
    <cellStyle name="Total 9" xfId="1686"/>
    <cellStyle name="Tytu?" xfId="1687"/>
    <cellStyle name="Tytuł" xfId="1688"/>
    <cellStyle name="Uwaga" xfId="1689"/>
    <cellStyle name="Warning Text" xfId="1690"/>
    <cellStyle name="Warning Text 2" xfId="1691"/>
    <cellStyle name="Warning Text 3" xfId="1692"/>
    <cellStyle name="Warning Text 4" xfId="1693"/>
    <cellStyle name="Warning Text 5" xfId="1694"/>
    <cellStyle name="Z?e" xfId="1695"/>
    <cellStyle name="Złe" xfId="169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A6A6A6"/>
      <color rgb="FF000069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Composition by</a:t>
            </a:r>
            <a:r>
              <a:rPr lang="es-CL" sz="1200" b="1" baseline="0">
                <a:solidFill>
                  <a:srgbClr val="44546A"/>
                </a:solidFill>
              </a:rPr>
              <a:t> rates</a:t>
            </a: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'[9]Deuda Financiera'!$F$13:$F$14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'[9]Deuda Financiera'!$H$13:$H$14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Composition by instrument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E-4AEB-8816-0E9D41644456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E-4AEB-8816-0E9D41644456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6E-4AEB-8816-0E9D41644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E-4AEB-8816-0E9D41644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E-4AEB-8816-0E9D41644456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E-4AEB-8816-0E9D41644456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E-4AEB-8816-0E9D41644456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E-4AEB-8816-0E9D41644456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E-4AEB-8816-0E9D416444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'[9]Deuda Financiera'!$B$13:$B$16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'[9]Deuda Financiera'!$C$13:$C$16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E-4AEB-8816-0E9D416444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18</xdr:row>
      <xdr:rowOff>9524</xdr:rowOff>
    </xdr:from>
    <xdr:to>
      <xdr:col>11</xdr:col>
      <xdr:colOff>1343025</xdr:colOff>
      <xdr:row>40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18</xdr:row>
      <xdr:rowOff>54426</xdr:rowOff>
    </xdr:from>
    <xdr:to>
      <xdr:col>6</xdr:col>
      <xdr:colOff>690789</xdr:colOff>
      <xdr:row>40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99786</xdr:colOff>
      <xdr:row>3</xdr:row>
      <xdr:rowOff>18144</xdr:rowOff>
    </xdr:from>
    <xdr:to>
      <xdr:col>3</xdr:col>
      <xdr:colOff>595190</xdr:colOff>
      <xdr:row>23</xdr:row>
      <xdr:rowOff>143504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786" y="508001"/>
          <a:ext cx="2019404" cy="3391074"/>
        </a:xfrm>
        <a:prstGeom prst="rect">
          <a:avLst/>
        </a:prstGeom>
      </xdr:spPr>
    </xdr:pic>
    <xdr:clientData/>
  </xdr:twoCellAnchor>
  <xdr:twoCellAnchor editAs="oneCell">
    <xdr:from>
      <xdr:col>4</xdr:col>
      <xdr:colOff>45357</xdr:colOff>
      <xdr:row>2</xdr:row>
      <xdr:rowOff>154215</xdr:rowOff>
    </xdr:from>
    <xdr:to>
      <xdr:col>6</xdr:col>
      <xdr:colOff>661417</xdr:colOff>
      <xdr:row>23</xdr:row>
      <xdr:rowOff>8334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3357" y="480786"/>
          <a:ext cx="2140060" cy="32831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ujo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lance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culation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nualized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ow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4\III%20Trimestre\03%20An&#225;lisis%20Razonado\AA\Con%20Revalorizacion\Informaci&#243;n%20AA%20Analisis%20razonado%20092024%20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%20por%20Segment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25;lculo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ujo%20de%20efectivo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icadore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%20de%20situaci&#243;n%20financiera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uda%20Financier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ized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"/>
      <sheetName val="Pasivo"/>
      <sheetName val="Resultado"/>
      <sheetName val="Cambio Patrimonio"/>
      <sheetName val="Flujo"/>
      <sheetName val="Segmentos Aguas Andinas"/>
    </sheetNames>
    <sheetDataSet>
      <sheetData sheetId="0">
        <row r="2">
          <cell r="B2" t="str">
            <v>ACTIVOS</v>
          </cell>
          <cell r="C2" t="str">
            <v>Nota</v>
          </cell>
          <cell r="D2">
            <v>45565</v>
          </cell>
          <cell r="E2">
            <v>45291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ACTIVOS CORRIENTES</v>
          </cell>
        </row>
        <row r="5">
          <cell r="B5" t="str">
            <v>Efectivo y equivalentes al efectivo</v>
          </cell>
          <cell r="C5">
            <v>4</v>
          </cell>
          <cell r="D5">
            <v>74875013</v>
          </cell>
          <cell r="E5">
            <v>109156681</v>
          </cell>
        </row>
        <row r="6">
          <cell r="B6" t="str">
            <v>Otros activos financieros</v>
          </cell>
          <cell r="C6">
            <v>10</v>
          </cell>
          <cell r="D6">
            <v>6893234</v>
          </cell>
          <cell r="E6">
            <v>0</v>
          </cell>
        </row>
        <row r="7">
          <cell r="B7" t="str">
            <v>Otros activos no financieros</v>
          </cell>
          <cell r="D7">
            <v>4518266</v>
          </cell>
          <cell r="E7">
            <v>7180555</v>
          </cell>
        </row>
        <row r="8">
          <cell r="B8" t="str">
            <v>Deudores comerciales y otras cuentas por cobrar</v>
          </cell>
          <cell r="C8">
            <v>5</v>
          </cell>
          <cell r="D8">
            <v>116506499</v>
          </cell>
          <cell r="E8">
            <v>132007468</v>
          </cell>
        </row>
        <row r="9">
          <cell r="B9" t="str">
            <v>Cuentas por cobrar a entidades relacionadas</v>
          </cell>
          <cell r="C9">
            <v>6</v>
          </cell>
          <cell r="D9">
            <v>15152</v>
          </cell>
          <cell r="E9">
            <v>14381</v>
          </cell>
        </row>
        <row r="10">
          <cell r="B10" t="str">
            <v>Inventarios</v>
          </cell>
          <cell r="C10">
            <v>7</v>
          </cell>
          <cell r="D10">
            <v>12004728</v>
          </cell>
          <cell r="E10">
            <v>12812483</v>
          </cell>
        </row>
        <row r="11">
          <cell r="B11" t="str">
            <v>Activos por impuestos corrientes</v>
          </cell>
          <cell r="C11">
            <v>8</v>
          </cell>
          <cell r="D11">
            <v>9671759</v>
          </cell>
          <cell r="E11">
            <v>13829428</v>
          </cell>
        </row>
        <row r="12">
          <cell r="B12" t="str">
            <v>Total de activos corrientes distintos de los activos o grupos de activos para su disposición clasificados como mantenidos para la venta o como mantenidos para distribuir a los propietarios</v>
          </cell>
          <cell r="D12">
            <v>224484651</v>
          </cell>
          <cell r="E12">
            <v>275000996</v>
          </cell>
        </row>
        <row r="13">
          <cell r="B13" t="str">
            <v>Activos no corrientes mantenidos para la venta</v>
          </cell>
          <cell r="C13">
            <v>9</v>
          </cell>
          <cell r="D13">
            <v>0</v>
          </cell>
          <cell r="E13">
            <v>3414</v>
          </cell>
        </row>
        <row r="14">
          <cell r="B14" t="str">
            <v>ACTIVOS CORRIENTES TOTALES</v>
          </cell>
          <cell r="D14">
            <v>224484651</v>
          </cell>
          <cell r="E14">
            <v>275004410</v>
          </cell>
        </row>
        <row r="15">
          <cell r="B15" t="str">
            <v>ACTIVOS NO CORRIENTES</v>
          </cell>
        </row>
        <row r="16">
          <cell r="B16" t="str">
            <v>Otros activos financieros no corrientes</v>
          </cell>
          <cell r="C16">
            <v>10</v>
          </cell>
          <cell r="D16">
            <v>8254287</v>
          </cell>
          <cell r="E16">
            <v>7895863</v>
          </cell>
        </row>
        <row r="17">
          <cell r="B17" t="str">
            <v>Otros activos no financieros no corrientes</v>
          </cell>
          <cell r="D17">
            <v>3598840</v>
          </cell>
          <cell r="E17">
            <v>1481897</v>
          </cell>
        </row>
        <row r="18">
          <cell r="B18" t="str">
            <v>Derechos por cobrar</v>
          </cell>
          <cell r="C18">
            <v>5</v>
          </cell>
          <cell r="D18">
            <v>3766684</v>
          </cell>
          <cell r="E18">
            <v>3778724</v>
          </cell>
        </row>
        <row r="19">
          <cell r="B19" t="str">
            <v>Inversiones contabilizadas utilizando el método de la partic</v>
          </cell>
          <cell r="D19">
            <v>0</v>
          </cell>
          <cell r="E19">
            <v>0</v>
          </cell>
        </row>
        <row r="20">
          <cell r="B20" t="str">
            <v>Activos intangibles distintos de la plusvalía</v>
          </cell>
          <cell r="C20">
            <v>11</v>
          </cell>
          <cell r="D20">
            <v>619883123</v>
          </cell>
          <cell r="E20">
            <v>231747713</v>
          </cell>
        </row>
        <row r="21">
          <cell r="B21" t="str">
            <v>Plusvalía</v>
          </cell>
          <cell r="C21">
            <v>12</v>
          </cell>
          <cell r="D21">
            <v>33823049</v>
          </cell>
          <cell r="E21">
            <v>33823049</v>
          </cell>
        </row>
        <row r="22">
          <cell r="B22" t="str">
            <v>Propiedades, plantas y equipos</v>
          </cell>
          <cell r="C22">
            <v>13</v>
          </cell>
          <cell r="D22">
            <v>1845573943</v>
          </cell>
          <cell r="E22">
            <v>1805370932</v>
          </cell>
        </row>
        <row r="23">
          <cell r="B23" t="str">
            <v>Activos por derecho de uso</v>
          </cell>
          <cell r="C23">
            <v>14</v>
          </cell>
          <cell r="D23">
            <v>3781338</v>
          </cell>
          <cell r="E23">
            <v>4307072</v>
          </cell>
        </row>
        <row r="24">
          <cell r="B24" t="str">
            <v>Activos por impuestos diferidos</v>
          </cell>
          <cell r="C24">
            <v>15</v>
          </cell>
          <cell r="D24">
            <v>2373571</v>
          </cell>
          <cell r="E24">
            <v>59938069</v>
          </cell>
        </row>
        <row r="25">
          <cell r="B25" t="str">
            <v>Cuentas por cobrar a entidades relacionadas</v>
          </cell>
          <cell r="D25">
            <v>0</v>
          </cell>
          <cell r="E25">
            <v>0</v>
          </cell>
        </row>
        <row r="26">
          <cell r="B26" t="str">
            <v>TOTAL DE ACTIVOS NO CORRIENTES</v>
          </cell>
          <cell r="D26">
            <v>2521054835</v>
          </cell>
          <cell r="E26">
            <v>2148343319</v>
          </cell>
        </row>
        <row r="28">
          <cell r="B28" t="str">
            <v>TOTAL DE ACTIVOS</v>
          </cell>
          <cell r="D28">
            <v>2745539486</v>
          </cell>
          <cell r="E28">
            <v>2423347729</v>
          </cell>
        </row>
        <row r="30">
          <cell r="D30">
            <v>328742928</v>
          </cell>
          <cell r="E30">
            <v>0</v>
          </cell>
        </row>
      </sheetData>
      <sheetData sheetId="1">
        <row r="2">
          <cell r="B2" t="str">
            <v>PASIVOS</v>
          </cell>
          <cell r="C2" t="str">
            <v>Nota</v>
          </cell>
          <cell r="D2">
            <v>45565</v>
          </cell>
          <cell r="E2">
            <v>45291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PASIVOS CORRIENTES</v>
          </cell>
        </row>
        <row r="5">
          <cell r="B5" t="str">
            <v xml:space="preserve">Otros pasivos financieros </v>
          </cell>
          <cell r="C5">
            <v>16</v>
          </cell>
          <cell r="D5">
            <v>89431188</v>
          </cell>
          <cell r="E5">
            <v>155416801</v>
          </cell>
        </row>
        <row r="6">
          <cell r="B6" t="str">
            <v>Pasivos por arrendamientos</v>
          </cell>
          <cell r="C6">
            <v>14</v>
          </cell>
          <cell r="D6">
            <v>1749268</v>
          </cell>
          <cell r="E6">
            <v>1752912</v>
          </cell>
        </row>
        <row r="7">
          <cell r="B7" t="str">
            <v>Cuentas por pagar comerciales y otras cuentas por pagar</v>
          </cell>
          <cell r="C7">
            <v>17</v>
          </cell>
          <cell r="D7">
            <v>137431455</v>
          </cell>
          <cell r="E7">
            <v>177288051</v>
          </cell>
        </row>
        <row r="8">
          <cell r="B8" t="str">
            <v>Cuentas por pagar a entidades relacionadas</v>
          </cell>
          <cell r="C8">
            <v>6</v>
          </cell>
          <cell r="D8">
            <v>1171673</v>
          </cell>
          <cell r="E8">
            <v>1578553</v>
          </cell>
        </row>
        <row r="9">
          <cell r="B9" t="str">
            <v>Otras provisiones</v>
          </cell>
          <cell r="C9">
            <v>18</v>
          </cell>
          <cell r="D9">
            <v>790902</v>
          </cell>
          <cell r="E9">
            <v>735780</v>
          </cell>
        </row>
        <row r="10">
          <cell r="B10" t="str">
            <v>Pasivos por impuestos</v>
          </cell>
          <cell r="C10">
            <v>8</v>
          </cell>
          <cell r="D10">
            <v>415270</v>
          </cell>
          <cell r="E10">
            <v>240748</v>
          </cell>
        </row>
        <row r="11">
          <cell r="B11" t="str">
            <v>Provisiones corrientes por beneficios a los empleados</v>
          </cell>
          <cell r="C11">
            <v>19</v>
          </cell>
          <cell r="D11">
            <v>5381109</v>
          </cell>
          <cell r="E11">
            <v>5955720</v>
          </cell>
        </row>
        <row r="12">
          <cell r="B12" t="str">
            <v>Otros pasivos no financieros</v>
          </cell>
          <cell r="C12">
            <v>20</v>
          </cell>
          <cell r="D12">
            <v>13516677</v>
          </cell>
          <cell r="E12">
            <v>18699561</v>
          </cell>
        </row>
        <row r="13">
          <cell r="B13" t="str">
            <v>Total de pasivos corrientes distintos de los pasivos incluidos en grupos de pasivos para su disposición clasificados como mantenidos para la venta</v>
          </cell>
          <cell r="D13">
            <v>249887542</v>
          </cell>
          <cell r="E13">
            <v>361668126</v>
          </cell>
        </row>
        <row r="14">
          <cell r="B14" t="str">
            <v>Pasivos incluidos en grupos de activos para su disposición clasificados como mantenidos para la venta</v>
          </cell>
          <cell r="D14">
            <v>0</v>
          </cell>
          <cell r="E14">
            <v>0</v>
          </cell>
        </row>
        <row r="15">
          <cell r="B15" t="str">
            <v>PASIVOS CORRIENTES TOTALES</v>
          </cell>
          <cell r="D15">
            <v>249887542</v>
          </cell>
          <cell r="E15">
            <v>361668126</v>
          </cell>
        </row>
        <row r="16">
          <cell r="B16" t="str">
            <v>PASIVOS NO CORRIENTES</v>
          </cell>
        </row>
        <row r="17">
          <cell r="B17" t="str">
            <v>Otros pasivos financieros no corrientes</v>
          </cell>
          <cell r="C17">
            <v>16</v>
          </cell>
          <cell r="D17">
            <v>1230124282</v>
          </cell>
          <cell r="E17">
            <v>1125060897</v>
          </cell>
        </row>
        <row r="18">
          <cell r="B18" t="str">
            <v>Pasivos por arrendamientos no corrientes</v>
          </cell>
          <cell r="C18">
            <v>14</v>
          </cell>
          <cell r="D18">
            <v>2272413</v>
          </cell>
          <cell r="E18">
            <v>2762179</v>
          </cell>
        </row>
        <row r="19">
          <cell r="B19" t="str">
            <v>Otras cuentas por pagar</v>
          </cell>
          <cell r="C19">
            <v>17</v>
          </cell>
          <cell r="D19">
            <v>1386972</v>
          </cell>
          <cell r="E19">
            <v>1181870</v>
          </cell>
        </row>
        <row r="20">
          <cell r="B20" t="str">
            <v>Cuentas por pagar a entidades relacionadas no corrientes</v>
          </cell>
          <cell r="D20">
            <v>0</v>
          </cell>
          <cell r="E20">
            <v>0</v>
          </cell>
        </row>
        <row r="21">
          <cell r="B21" t="str">
            <v>Otras provisiones no corrientes</v>
          </cell>
          <cell r="C21">
            <v>18</v>
          </cell>
          <cell r="D21">
            <v>1881981</v>
          </cell>
          <cell r="E21">
            <v>1823379</v>
          </cell>
        </row>
        <row r="22">
          <cell r="B22" t="str">
            <v>Pasivo por impuestos diferidos</v>
          </cell>
          <cell r="C22">
            <v>15</v>
          </cell>
          <cell r="D22">
            <v>58473101</v>
          </cell>
          <cell r="E22">
            <v>14934780</v>
          </cell>
        </row>
        <row r="23">
          <cell r="B23" t="str">
            <v>Provisiones no corrientes por beneficios a los empleados</v>
          </cell>
          <cell r="C23">
            <v>19</v>
          </cell>
          <cell r="D23">
            <v>22906413</v>
          </cell>
          <cell r="E23">
            <v>22322555</v>
          </cell>
        </row>
        <row r="24">
          <cell r="B24" t="str">
            <v>Otros pasivos no financieros no corrientes</v>
          </cell>
          <cell r="C24">
            <v>20</v>
          </cell>
          <cell r="D24">
            <v>7923297</v>
          </cell>
          <cell r="E24">
            <v>7454645</v>
          </cell>
        </row>
        <row r="25">
          <cell r="B25" t="str">
            <v>TOTAL DE PASIVOS NO CORRIENTES</v>
          </cell>
          <cell r="D25">
            <v>1324968459</v>
          </cell>
          <cell r="E25">
            <v>1175540305</v>
          </cell>
        </row>
        <row r="27">
          <cell r="B27" t="str">
            <v>TOTAL PASIVOS</v>
          </cell>
          <cell r="D27">
            <v>1574856001</v>
          </cell>
          <cell r="E27">
            <v>1537208431</v>
          </cell>
        </row>
        <row r="28">
          <cell r="B28" t="str">
            <v>PATRIMONIO</v>
          </cell>
        </row>
        <row r="29">
          <cell r="B29" t="str">
            <v>Capital Emitido</v>
          </cell>
          <cell r="C29">
            <v>21</v>
          </cell>
          <cell r="D29">
            <v>155567354</v>
          </cell>
          <cell r="E29">
            <v>155567354</v>
          </cell>
        </row>
        <row r="30">
          <cell r="B30" t="str">
            <v>Ganancias (perdidas) acumuladas</v>
          </cell>
          <cell r="C30">
            <v>21</v>
          </cell>
          <cell r="D30">
            <v>413907664</v>
          </cell>
          <cell r="E30">
            <v>411044222</v>
          </cell>
        </row>
        <row r="31">
          <cell r="B31" t="str">
            <v>Primas de emisión</v>
          </cell>
          <cell r="C31">
            <v>21</v>
          </cell>
          <cell r="D31">
            <v>164064038</v>
          </cell>
          <cell r="E31">
            <v>164064038</v>
          </cell>
        </row>
        <row r="32">
          <cell r="B32" t="str">
            <v>Otras participaciones en el patrimonio</v>
          </cell>
          <cell r="C32">
            <v>21</v>
          </cell>
          <cell r="D32">
            <v>-5965550</v>
          </cell>
          <cell r="E32">
            <v>-5965550</v>
          </cell>
        </row>
        <row r="33">
          <cell r="B33" t="str">
            <v>Otras reservas</v>
          </cell>
          <cell r="C33">
            <v>21</v>
          </cell>
          <cell r="D33">
            <v>443076432</v>
          </cell>
          <cell r="E33">
            <v>161397766</v>
          </cell>
        </row>
        <row r="34">
          <cell r="B34" t="str">
            <v>Patrimonio atribuible a los propietarios de la controladora</v>
          </cell>
          <cell r="D34">
            <v>1170649938</v>
          </cell>
          <cell r="E34">
            <v>886107830</v>
          </cell>
        </row>
        <row r="35">
          <cell r="B35" t="str">
            <v>Participaciones no controladoras</v>
          </cell>
          <cell r="C35">
            <v>22</v>
          </cell>
          <cell r="D35">
            <v>33547</v>
          </cell>
          <cell r="E35">
            <v>31468</v>
          </cell>
        </row>
        <row r="36">
          <cell r="B36" t="str">
            <v xml:space="preserve">PATRIMONIO TOTAL </v>
          </cell>
          <cell r="D36">
            <v>1170683485</v>
          </cell>
          <cell r="E36">
            <v>886139298</v>
          </cell>
        </row>
        <row r="38">
          <cell r="B38" t="str">
            <v>TOTAL DE PATRIMONIO Y PASIVOS</v>
          </cell>
          <cell r="D38">
            <v>2745539486</v>
          </cell>
          <cell r="E38">
            <v>2423347729</v>
          </cell>
        </row>
        <row r="40">
          <cell r="D40">
            <v>0</v>
          </cell>
          <cell r="E40">
            <v>0</v>
          </cell>
        </row>
      </sheetData>
      <sheetData sheetId="2">
        <row r="2">
          <cell r="B2" t="str">
            <v xml:space="preserve">ESTADOS DE RESULTADOS POR NATURALEZA </v>
          </cell>
        </row>
      </sheetData>
      <sheetData sheetId="3"/>
      <sheetData sheetId="4">
        <row r="3">
          <cell r="B3" t="str">
            <v>Estado de Flujo de efectivo directo</v>
          </cell>
        </row>
      </sheetData>
      <sheetData sheetId="5">
        <row r="6">
          <cell r="C6">
            <v>453022525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por Segment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 de efectivo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 financier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Financier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</sheetPr>
  <dimension ref="A2:I69"/>
  <sheetViews>
    <sheetView showGridLines="0" topLeftCell="A53" zoomScale="90" zoomScaleNormal="90" workbookViewId="0">
      <selection activeCell="O14" sqref="O14"/>
    </sheetView>
  </sheetViews>
  <sheetFormatPr baseColWidth="10" defaultColWidth="11.42578125" defaultRowHeight="12.75"/>
  <cols>
    <col min="1" max="1" width="10.42578125" style="422" customWidth="1"/>
    <col min="2" max="2" width="56.5703125" style="423" customWidth="1"/>
    <col min="3" max="3" width="7.5703125" style="423" customWidth="1"/>
    <col min="4" max="5" width="14.42578125" style="423" customWidth="1"/>
    <col min="6" max="6" width="8" style="423" customWidth="1"/>
    <col min="7" max="7" width="12.5703125" style="260" bestFit="1" customWidth="1"/>
    <col min="8" max="8" width="11.42578125" style="264"/>
    <col min="9" max="9" width="11.42578125" style="422"/>
    <col min="10" max="10" width="13" style="422" bestFit="1" customWidth="1"/>
    <col min="11" max="16384" width="11.42578125" style="422"/>
  </cols>
  <sheetData>
    <row r="2" spans="1:9" ht="21.75" customHeight="1" thickBot="1"/>
    <row r="3" spans="1:9" s="111" customFormat="1" ht="18" customHeight="1">
      <c r="A3" s="424"/>
      <c r="B3" s="462" t="s">
        <v>104</v>
      </c>
      <c r="C3" s="464" t="s">
        <v>105</v>
      </c>
      <c r="D3" s="50">
        <v>45565</v>
      </c>
      <c r="E3" s="51">
        <v>45291</v>
      </c>
      <c r="F3" s="109"/>
      <c r="G3" s="466" t="s">
        <v>227</v>
      </c>
      <c r="H3" s="467"/>
    </row>
    <row r="4" spans="1:9" s="111" customFormat="1" ht="18" customHeight="1">
      <c r="A4" s="110"/>
      <c r="B4" s="463"/>
      <c r="C4" s="465"/>
      <c r="D4" s="425" t="s">
        <v>8</v>
      </c>
      <c r="E4" s="426" t="s">
        <v>8</v>
      </c>
      <c r="F4" s="427"/>
      <c r="G4" s="280" t="s">
        <v>8</v>
      </c>
      <c r="H4" s="281" t="s">
        <v>70</v>
      </c>
    </row>
    <row r="5" spans="1:9" s="111" customFormat="1" ht="21" customHeight="1">
      <c r="A5" s="110"/>
      <c r="B5" s="428" t="s">
        <v>106</v>
      </c>
      <c r="C5" s="53"/>
      <c r="D5" s="54"/>
      <c r="E5" s="55"/>
      <c r="F5" s="110"/>
      <c r="G5" s="261"/>
      <c r="H5" s="282"/>
    </row>
    <row r="6" spans="1:9" s="111" customFormat="1" ht="21" customHeight="1">
      <c r="A6" s="110"/>
      <c r="B6" s="62" t="s">
        <v>107</v>
      </c>
      <c r="C6" s="53">
        <v>4</v>
      </c>
      <c r="D6" s="265" t="e">
        <f>+VLOOKUP(B6,[15]Activo!$B:$E,3,0)</f>
        <v>#N/A</v>
      </c>
      <c r="E6" s="265" t="e">
        <f>+VLOOKUP(B6,[15]Activo!$B:$E,4,0)</f>
        <v>#N/A</v>
      </c>
      <c r="G6" s="261" t="e">
        <f>ROUND(+(D6-E6),0)</f>
        <v>#N/A</v>
      </c>
      <c r="H6" s="282">
        <f>IFERROR(G6/E6,1)</f>
        <v>1</v>
      </c>
      <c r="I6" s="111" t="s">
        <v>372</v>
      </c>
    </row>
    <row r="7" spans="1:9" s="111" customFormat="1" ht="21" customHeight="1">
      <c r="A7" s="110"/>
      <c r="B7" s="62" t="s">
        <v>233</v>
      </c>
      <c r="C7" s="53">
        <v>11</v>
      </c>
      <c r="D7" s="265" t="e">
        <f>+VLOOKUP(B7,[15]Activo!$B:$E,3,0)</f>
        <v>#N/A</v>
      </c>
      <c r="E7" s="265" t="e">
        <f>+VLOOKUP(B7,[15]Activo!$B:$E,4,0)</f>
        <v>#N/A</v>
      </c>
      <c r="G7" s="261" t="e">
        <f t="shared" ref="G7:G14" si="0">ROUND(+(D7-E7),0)</f>
        <v>#N/A</v>
      </c>
      <c r="H7" s="282">
        <f t="shared" ref="H7:H54" si="1">IFERROR(G7/E7,1)</f>
        <v>1</v>
      </c>
      <c r="I7" s="111" t="s">
        <v>373</v>
      </c>
    </row>
    <row r="8" spans="1:9" s="111" customFormat="1" ht="21" customHeight="1">
      <c r="A8" s="110"/>
      <c r="B8" s="62" t="s">
        <v>108</v>
      </c>
      <c r="C8" s="53">
        <v>10</v>
      </c>
      <c r="D8" s="265" t="e">
        <f>+VLOOKUP(B8,[15]Activo!$B:$E,3,0)</f>
        <v>#N/A</v>
      </c>
      <c r="E8" s="265" t="e">
        <f>+VLOOKUP(B8,[15]Activo!$B:$E,4,0)</f>
        <v>#N/A</v>
      </c>
      <c r="G8" s="261" t="e">
        <f t="shared" si="0"/>
        <v>#N/A</v>
      </c>
      <c r="H8" s="282">
        <f t="shared" si="1"/>
        <v>1</v>
      </c>
      <c r="I8" s="111" t="s">
        <v>374</v>
      </c>
    </row>
    <row r="9" spans="1:9" s="111" customFormat="1" ht="21" customHeight="1">
      <c r="A9" s="110"/>
      <c r="B9" s="62" t="s">
        <v>109</v>
      </c>
      <c r="C9" s="53">
        <v>5</v>
      </c>
      <c r="D9" s="265" t="e">
        <f>+VLOOKUP(B9,[15]Activo!$B:$E,3,0)</f>
        <v>#N/A</v>
      </c>
      <c r="E9" s="265" t="e">
        <f>+VLOOKUP(B9,[15]Activo!$B:$E,4,0)</f>
        <v>#N/A</v>
      </c>
      <c r="G9" s="261" t="e">
        <f t="shared" si="0"/>
        <v>#N/A</v>
      </c>
      <c r="H9" s="282">
        <f t="shared" si="1"/>
        <v>1</v>
      </c>
      <c r="I9" s="111" t="s">
        <v>375</v>
      </c>
    </row>
    <row r="10" spans="1:9" s="111" customFormat="1" ht="21" customHeight="1">
      <c r="A10" s="110"/>
      <c r="B10" s="62" t="s">
        <v>110</v>
      </c>
      <c r="C10" s="53">
        <v>6</v>
      </c>
      <c r="D10" s="265" t="e">
        <f>+VLOOKUP(B10,[15]Activo!$B:$E,3,0)</f>
        <v>#N/A</v>
      </c>
      <c r="E10" s="265" t="e">
        <f>+VLOOKUP(B10,[15]Activo!$B:$E,4,0)</f>
        <v>#N/A</v>
      </c>
      <c r="G10" s="261" t="e">
        <f t="shared" si="0"/>
        <v>#N/A</v>
      </c>
      <c r="H10" s="282">
        <f t="shared" si="1"/>
        <v>1</v>
      </c>
    </row>
    <row r="11" spans="1:9" s="111" customFormat="1" ht="21" customHeight="1">
      <c r="A11" s="110"/>
      <c r="B11" s="62" t="s">
        <v>111</v>
      </c>
      <c r="C11" s="53">
        <v>7</v>
      </c>
      <c r="D11" s="265" t="e">
        <f>+VLOOKUP(B11,[15]Activo!$B:$E,3,0)</f>
        <v>#N/A</v>
      </c>
      <c r="E11" s="265" t="e">
        <f>+VLOOKUP(B11,[15]Activo!$B:$E,4,0)</f>
        <v>#N/A</v>
      </c>
      <c r="G11" s="261" t="e">
        <f t="shared" si="0"/>
        <v>#N/A</v>
      </c>
      <c r="H11" s="282">
        <f t="shared" si="1"/>
        <v>1</v>
      </c>
    </row>
    <row r="12" spans="1:9" s="111" customFormat="1" ht="21" customHeight="1" thickBot="1">
      <c r="A12" s="110"/>
      <c r="B12" s="62" t="s">
        <v>312</v>
      </c>
      <c r="C12" s="53">
        <v>8</v>
      </c>
      <c r="D12" s="265" t="e">
        <f>+VLOOKUP(B12,[15]Activo!$B:$E,3,0)</f>
        <v>#N/A</v>
      </c>
      <c r="E12" s="265" t="e">
        <f>+VLOOKUP(B12,[15]Activo!$B:$E,4,0)</f>
        <v>#N/A</v>
      </c>
      <c r="G12" s="261" t="e">
        <f t="shared" si="0"/>
        <v>#N/A</v>
      </c>
      <c r="H12" s="282">
        <f t="shared" si="1"/>
        <v>1</v>
      </c>
      <c r="I12" s="440"/>
    </row>
    <row r="13" spans="1:9" s="111" customFormat="1" ht="36" customHeight="1" thickBot="1">
      <c r="A13" s="110"/>
      <c r="B13" s="57" t="s">
        <v>112</v>
      </c>
      <c r="C13" s="421"/>
      <c r="D13" s="267" t="e">
        <f>SUM(D6:D12)</f>
        <v>#N/A</v>
      </c>
      <c r="E13" s="268" t="e">
        <f>SUM(E6:E12)</f>
        <v>#N/A</v>
      </c>
      <c r="F13" s="112"/>
      <c r="G13" s="283" t="e">
        <f>ROUND(+(D13-E13),0)</f>
        <v>#N/A</v>
      </c>
      <c r="H13" s="284">
        <f t="shared" si="1"/>
        <v>1</v>
      </c>
    </row>
    <row r="14" spans="1:9" s="111" customFormat="1" ht="21" customHeight="1" thickBot="1">
      <c r="A14" s="110"/>
      <c r="B14" s="62" t="s">
        <v>313</v>
      </c>
      <c r="C14" s="53">
        <v>9</v>
      </c>
      <c r="D14" s="265" t="e">
        <f>+VLOOKUP(B14,[15]Activo!$B:$E,3,0)</f>
        <v>#N/A</v>
      </c>
      <c r="E14" s="265" t="e">
        <f>+VLOOKUP(B14,[15]Activo!$B:$E,4,0)</f>
        <v>#N/A</v>
      </c>
      <c r="G14" s="261" t="e">
        <f t="shared" si="0"/>
        <v>#N/A</v>
      </c>
      <c r="H14" s="282">
        <f t="shared" si="1"/>
        <v>1</v>
      </c>
    </row>
    <row r="15" spans="1:9" s="111" customFormat="1" ht="21" customHeight="1" thickBot="1">
      <c r="A15" s="110"/>
      <c r="B15" s="58" t="s">
        <v>113</v>
      </c>
      <c r="C15" s="421"/>
      <c r="D15" s="269" t="e">
        <f>+D13+D14</f>
        <v>#N/A</v>
      </c>
      <c r="E15" s="270" t="e">
        <f>+E13+E14</f>
        <v>#N/A</v>
      </c>
      <c r="F15" s="113"/>
      <c r="G15" s="283" t="e">
        <f>ROUND(+(D15-E15),0)</f>
        <v>#N/A</v>
      </c>
      <c r="H15" s="284">
        <f t="shared" si="1"/>
        <v>1</v>
      </c>
    </row>
    <row r="16" spans="1:9" s="111" customFormat="1" ht="21" customHeight="1">
      <c r="A16" s="110"/>
      <c r="B16" s="428" t="s">
        <v>261</v>
      </c>
      <c r="C16" s="59"/>
      <c r="D16" s="271"/>
      <c r="E16" s="272"/>
      <c r="F16" s="112"/>
      <c r="G16" s="261"/>
      <c r="H16" s="282"/>
    </row>
    <row r="17" spans="1:9" s="111" customFormat="1" ht="21" customHeight="1">
      <c r="A17" s="110"/>
      <c r="B17" s="62" t="s">
        <v>323</v>
      </c>
      <c r="C17" s="53">
        <v>11</v>
      </c>
      <c r="D17" s="265" t="e">
        <f>+VLOOKUP(B17,[15]Activo!$B:$E,3,0)</f>
        <v>#N/A</v>
      </c>
      <c r="E17" s="265" t="e">
        <f>+VLOOKUP(B17,[15]Activo!$B:$E,4,0)</f>
        <v>#N/A</v>
      </c>
      <c r="G17" s="261" t="e">
        <f t="shared" ref="G17:G26" si="2">ROUND(+(D17-E17),0)</f>
        <v>#N/A</v>
      </c>
      <c r="H17" s="282">
        <f t="shared" si="1"/>
        <v>1</v>
      </c>
    </row>
    <row r="18" spans="1:9" s="111" customFormat="1" ht="21" customHeight="1">
      <c r="A18" s="110"/>
      <c r="B18" s="62" t="s">
        <v>322</v>
      </c>
      <c r="C18" s="53">
        <v>10</v>
      </c>
      <c r="D18" s="265" t="e">
        <f>+VLOOKUP(B18,[15]Activo!$B:$E,3,0)</f>
        <v>#N/A</v>
      </c>
      <c r="E18" s="265" t="e">
        <f>+VLOOKUP(B18,[15]Activo!$B:$E,4,0)</f>
        <v>#N/A</v>
      </c>
      <c r="G18" s="261" t="e">
        <f t="shared" si="2"/>
        <v>#N/A</v>
      </c>
      <c r="H18" s="282">
        <f t="shared" si="1"/>
        <v>1</v>
      </c>
      <c r="I18" s="111" t="s">
        <v>376</v>
      </c>
    </row>
    <row r="19" spans="1:9" s="111" customFormat="1" ht="21" customHeight="1">
      <c r="A19" s="110"/>
      <c r="B19" s="62" t="s">
        <v>234</v>
      </c>
      <c r="C19" s="53">
        <v>5</v>
      </c>
      <c r="D19" s="265" t="e">
        <f>+VLOOKUP(B19,[15]Activo!$B:$E,3,0)</f>
        <v>#N/A</v>
      </c>
      <c r="E19" s="265" t="e">
        <f>+VLOOKUP(B19,[15]Activo!$B:$E,4,0)</f>
        <v>#N/A</v>
      </c>
      <c r="G19" s="261" t="e">
        <f t="shared" si="2"/>
        <v>#N/A</v>
      </c>
      <c r="H19" s="282">
        <f t="shared" si="1"/>
        <v>1</v>
      </c>
    </row>
    <row r="20" spans="1:9" s="111" customFormat="1" ht="21" customHeight="1">
      <c r="A20" s="110"/>
      <c r="B20" s="62" t="s">
        <v>283</v>
      </c>
      <c r="C20" s="53"/>
      <c r="D20" s="265" t="e">
        <f>+VLOOKUP(B20,[15]Activo!$B:$E,3,0)</f>
        <v>#N/A</v>
      </c>
      <c r="E20" s="265" t="e">
        <f>+VLOOKUP(B20,[15]Activo!$B:$E,4,0)</f>
        <v>#N/A</v>
      </c>
      <c r="G20" s="261"/>
      <c r="H20" s="282"/>
    </row>
    <row r="21" spans="1:9" s="111" customFormat="1" ht="21" customHeight="1">
      <c r="A21" s="110"/>
      <c r="B21" s="62" t="s">
        <v>114</v>
      </c>
      <c r="C21" s="53">
        <v>12</v>
      </c>
      <c r="D21" s="265" t="e">
        <f>+VLOOKUP(B21,[15]Activo!$B:$E,3,0)</f>
        <v>#N/A</v>
      </c>
      <c r="E21" s="265" t="e">
        <f>+VLOOKUP(B21,[15]Activo!$B:$E,4,0)</f>
        <v>#N/A</v>
      </c>
      <c r="G21" s="261" t="e">
        <f t="shared" si="2"/>
        <v>#N/A</v>
      </c>
      <c r="H21" s="282">
        <f t="shared" si="1"/>
        <v>1</v>
      </c>
      <c r="I21" s="111" t="s">
        <v>377</v>
      </c>
    </row>
    <row r="22" spans="1:9" s="111" customFormat="1" ht="21" customHeight="1">
      <c r="A22" s="110"/>
      <c r="B22" s="62" t="s">
        <v>115</v>
      </c>
      <c r="C22" s="53">
        <v>13</v>
      </c>
      <c r="D22" s="265" t="e">
        <f>+VLOOKUP(B22,[15]Activo!$B:$E,3,0)</f>
        <v>#N/A</v>
      </c>
      <c r="E22" s="265" t="e">
        <f>+VLOOKUP(B22,[15]Activo!$B:$E,4,0)</f>
        <v>#N/A</v>
      </c>
      <c r="G22" s="261" t="e">
        <f t="shared" si="2"/>
        <v>#N/A</v>
      </c>
      <c r="H22" s="282">
        <f t="shared" si="1"/>
        <v>1</v>
      </c>
    </row>
    <row r="23" spans="1:9" s="111" customFormat="1" ht="21" customHeight="1">
      <c r="A23" s="110"/>
      <c r="B23" s="62" t="s">
        <v>314</v>
      </c>
      <c r="C23" s="53">
        <v>14</v>
      </c>
      <c r="D23" s="265" t="e">
        <f>+VLOOKUP(B23,[15]Activo!$B:$E,3,0)</f>
        <v>#N/A</v>
      </c>
      <c r="E23" s="265" t="e">
        <f>+VLOOKUP(B23,[15]Activo!$B:$E,4,0)</f>
        <v>#N/A</v>
      </c>
      <c r="G23" s="261" t="e">
        <f t="shared" si="2"/>
        <v>#N/A</v>
      </c>
      <c r="H23" s="282">
        <f t="shared" si="1"/>
        <v>1</v>
      </c>
      <c r="I23" s="111" t="s">
        <v>378</v>
      </c>
    </row>
    <row r="24" spans="1:9" s="111" customFormat="1" ht="21" customHeight="1">
      <c r="A24" s="110"/>
      <c r="B24" s="62" t="s">
        <v>271</v>
      </c>
      <c r="C24" s="53">
        <v>15</v>
      </c>
      <c r="D24" s="265" t="e">
        <f>+VLOOKUP(B24,[15]Activo!$B:$E,3,0)</f>
        <v>#N/A</v>
      </c>
      <c r="E24" s="265" t="e">
        <f>+VLOOKUP(B24,[15]Activo!$B:$E,4,0)</f>
        <v>#N/A</v>
      </c>
      <c r="G24" s="261" t="e">
        <f t="shared" ref="G24" si="3">ROUND(+(D24-E24),0)</f>
        <v>#N/A</v>
      </c>
      <c r="H24" s="282">
        <f t="shared" ref="H24" si="4">IFERROR(G24/E24,1)</f>
        <v>1</v>
      </c>
    </row>
    <row r="25" spans="1:9" s="111" customFormat="1" ht="21" customHeight="1" thickBot="1">
      <c r="A25" s="110"/>
      <c r="B25" s="62" t="s">
        <v>315</v>
      </c>
      <c r="C25" s="53">
        <v>16</v>
      </c>
      <c r="D25" s="265" t="e">
        <f>+VLOOKUP(B25,[15]Activo!$B:$E,3,0)</f>
        <v>#N/A</v>
      </c>
      <c r="E25" s="265" t="e">
        <f>+VLOOKUP(B25,[15]Activo!$B:$E,4,0)</f>
        <v>#N/A</v>
      </c>
      <c r="G25" s="261" t="e">
        <f t="shared" si="2"/>
        <v>#N/A</v>
      </c>
      <c r="H25" s="282">
        <f t="shared" si="1"/>
        <v>1</v>
      </c>
      <c r="I25" s="440"/>
    </row>
    <row r="26" spans="1:9" s="111" customFormat="1" ht="21" customHeight="1" thickBot="1">
      <c r="A26" s="110"/>
      <c r="B26" s="420" t="s">
        <v>116</v>
      </c>
      <c r="C26" s="421"/>
      <c r="D26" s="267" t="e">
        <f>SUM(D17:D25)</f>
        <v>#N/A</v>
      </c>
      <c r="E26" s="268" t="e">
        <f>SUM(E17:E25)</f>
        <v>#N/A</v>
      </c>
      <c r="F26" s="112"/>
      <c r="G26" s="283" t="e">
        <f t="shared" si="2"/>
        <v>#N/A</v>
      </c>
      <c r="H26" s="284">
        <f t="shared" si="1"/>
        <v>1</v>
      </c>
    </row>
    <row r="27" spans="1:9" s="110" customFormat="1" ht="11.25" customHeight="1" thickBot="1">
      <c r="A27" s="429"/>
      <c r="B27" s="62"/>
      <c r="C27" s="56"/>
      <c r="D27" s="265"/>
      <c r="E27" s="266"/>
      <c r="F27" s="111"/>
      <c r="G27" s="261"/>
      <c r="H27" s="282"/>
    </row>
    <row r="28" spans="1:9" s="111" customFormat="1" ht="21" customHeight="1" thickBot="1">
      <c r="B28" s="430" t="s">
        <v>235</v>
      </c>
      <c r="C28" s="60"/>
      <c r="D28" s="273" t="e">
        <f>+D15+D26</f>
        <v>#N/A</v>
      </c>
      <c r="E28" s="274" t="e">
        <f>+E15+E26</f>
        <v>#N/A</v>
      </c>
      <c r="F28" s="112"/>
      <c r="G28" s="283" t="e">
        <f>ROUND(+(D28-E28),0)</f>
        <v>#N/A</v>
      </c>
      <c r="H28" s="284">
        <f t="shared" si="1"/>
        <v>1</v>
      </c>
    </row>
    <row r="29" spans="1:9">
      <c r="B29" s="431"/>
      <c r="C29" s="431"/>
      <c r="D29" s="114"/>
      <c r="E29" s="114"/>
      <c r="F29" s="114"/>
      <c r="G29" s="263"/>
      <c r="H29" s="282"/>
    </row>
    <row r="30" spans="1:9" ht="13.5" thickBot="1">
      <c r="B30" s="431"/>
      <c r="C30" s="431"/>
      <c r="D30" s="114"/>
      <c r="E30" s="114"/>
      <c r="F30" s="114"/>
      <c r="G30" s="263"/>
      <c r="H30" s="282"/>
    </row>
    <row r="31" spans="1:9" s="111" customFormat="1" ht="20.25" customHeight="1">
      <c r="A31" s="424"/>
      <c r="B31" s="462" t="s">
        <v>117</v>
      </c>
      <c r="C31" s="464" t="s">
        <v>105</v>
      </c>
      <c r="D31" s="50">
        <f>+D3</f>
        <v>45565</v>
      </c>
      <c r="E31" s="51">
        <f>+E3</f>
        <v>45291</v>
      </c>
      <c r="G31" s="261"/>
      <c r="H31" s="282"/>
    </row>
    <row r="32" spans="1:9" s="111" customFormat="1" ht="18" customHeight="1">
      <c r="A32" s="110"/>
      <c r="B32" s="463"/>
      <c r="C32" s="465"/>
      <c r="D32" s="425" t="s">
        <v>8</v>
      </c>
      <c r="E32" s="426" t="s">
        <v>8</v>
      </c>
      <c r="G32" s="261"/>
      <c r="H32" s="282"/>
    </row>
    <row r="33" spans="1:9" s="111" customFormat="1" ht="18" customHeight="1">
      <c r="A33" s="110"/>
      <c r="B33" s="428" t="s">
        <v>118</v>
      </c>
      <c r="C33" s="432"/>
      <c r="D33" s="54"/>
      <c r="E33" s="55"/>
      <c r="G33" s="261"/>
      <c r="H33" s="282"/>
    </row>
    <row r="34" spans="1:9" s="110" customFormat="1" ht="18" customHeight="1">
      <c r="B34" s="62" t="s">
        <v>326</v>
      </c>
      <c r="C34" s="53">
        <v>17</v>
      </c>
      <c r="D34" s="265" t="e">
        <f>+VLOOKUP(B34,[15]Pasivo!$B:$E,3,0)</f>
        <v>#N/A</v>
      </c>
      <c r="E34" s="265" t="e">
        <f>+VLOOKUP(B34,[15]Pasivo!$B:$E,4,0)</f>
        <v>#N/A</v>
      </c>
      <c r="F34" s="111"/>
      <c r="G34" s="261" t="e">
        <f t="shared" ref="G34:G42" si="5">ROUND(+(D34-E34),0)</f>
        <v>#N/A</v>
      </c>
      <c r="H34" s="282">
        <f t="shared" si="1"/>
        <v>1</v>
      </c>
      <c r="I34" s="110" t="s">
        <v>379</v>
      </c>
    </row>
    <row r="35" spans="1:9" s="110" customFormat="1" ht="18" customHeight="1">
      <c r="B35" s="62" t="s">
        <v>272</v>
      </c>
      <c r="C35" s="53">
        <v>15</v>
      </c>
      <c r="D35" s="265" t="e">
        <f>+VLOOKUP(B35,[15]Pasivo!$B:$E,3,0)</f>
        <v>#N/A</v>
      </c>
      <c r="E35" s="265" t="e">
        <f>+VLOOKUP(B35,[15]Pasivo!$B:$E,4,0)</f>
        <v>#N/A</v>
      </c>
      <c r="F35" s="111"/>
      <c r="G35" s="261" t="e">
        <f t="shared" ref="G35" si="6">ROUND(+(D35-E35),0)</f>
        <v>#N/A</v>
      </c>
      <c r="H35" s="282">
        <f t="shared" ref="H35" si="7">IFERROR(G35/E35,1)</f>
        <v>1</v>
      </c>
    </row>
    <row r="36" spans="1:9" s="110" customFormat="1" ht="18" customHeight="1">
      <c r="B36" s="62" t="s">
        <v>316</v>
      </c>
      <c r="C36" s="53">
        <v>18</v>
      </c>
      <c r="D36" s="265" t="e">
        <f>+VLOOKUP(B36,[15]Pasivo!$B:$E,3,0)</f>
        <v>#N/A</v>
      </c>
      <c r="E36" s="265" t="e">
        <f>+VLOOKUP(B36,[15]Pasivo!$B:$E,4,0)</f>
        <v>#N/A</v>
      </c>
      <c r="F36" s="111"/>
      <c r="G36" s="261" t="e">
        <f t="shared" si="5"/>
        <v>#N/A</v>
      </c>
      <c r="H36" s="282">
        <f t="shared" si="1"/>
        <v>1</v>
      </c>
      <c r="I36" s="111" t="s">
        <v>380</v>
      </c>
    </row>
    <row r="37" spans="1:9" s="110" customFormat="1" ht="18" customHeight="1">
      <c r="B37" s="62" t="s">
        <v>119</v>
      </c>
      <c r="C37" s="53">
        <v>6</v>
      </c>
      <c r="D37" s="265" t="e">
        <f>+VLOOKUP(B37,[15]Pasivo!$B:$E,3,0)</f>
        <v>#N/A</v>
      </c>
      <c r="E37" s="265" t="e">
        <f>+VLOOKUP(B37,[15]Pasivo!$B:$E,4,0)</f>
        <v>#N/A</v>
      </c>
      <c r="F37" s="111"/>
      <c r="G37" s="261" t="e">
        <f t="shared" si="5"/>
        <v>#N/A</v>
      </c>
      <c r="H37" s="282">
        <f t="shared" si="1"/>
        <v>1</v>
      </c>
    </row>
    <row r="38" spans="1:9" s="110" customFormat="1" ht="18" customHeight="1">
      <c r="B38" s="62" t="s">
        <v>123</v>
      </c>
      <c r="C38" s="53">
        <v>19</v>
      </c>
      <c r="D38" s="265" t="e">
        <f>+VLOOKUP(B38,[15]Pasivo!$B:$E,3,0)</f>
        <v>#N/A</v>
      </c>
      <c r="E38" s="265" t="e">
        <f>+VLOOKUP(B38,[15]Pasivo!$B:$E,4,0)</f>
        <v>#N/A</v>
      </c>
      <c r="F38" s="111"/>
      <c r="G38" s="261" t="e">
        <f t="shared" si="5"/>
        <v>#N/A</v>
      </c>
      <c r="H38" s="282">
        <f t="shared" si="1"/>
        <v>1</v>
      </c>
    </row>
    <row r="39" spans="1:9" s="110" customFormat="1" ht="18" customHeight="1">
      <c r="B39" s="62" t="s">
        <v>120</v>
      </c>
      <c r="C39" s="53">
        <v>8</v>
      </c>
      <c r="D39" s="265" t="e">
        <f>+VLOOKUP(B39,[15]Pasivo!$B:$E,3,0)</f>
        <v>#N/A</v>
      </c>
      <c r="E39" s="265" t="e">
        <f>+VLOOKUP(B39,[15]Pasivo!$B:$E,4,0)</f>
        <v>#N/A</v>
      </c>
      <c r="F39" s="111"/>
      <c r="G39" s="261" t="e">
        <f t="shared" si="5"/>
        <v>#N/A</v>
      </c>
      <c r="H39" s="282">
        <f t="shared" si="1"/>
        <v>1</v>
      </c>
    </row>
    <row r="40" spans="1:9" s="110" customFormat="1" ht="18" customHeight="1">
      <c r="B40" s="62" t="s">
        <v>317</v>
      </c>
      <c r="C40" s="53">
        <v>20</v>
      </c>
      <c r="D40" s="265" t="e">
        <f>+VLOOKUP(B40,[15]Pasivo!$B:$E,3,0)</f>
        <v>#N/A</v>
      </c>
      <c r="E40" s="265" t="e">
        <f>+VLOOKUP(B40,[15]Pasivo!$B:$E,4,0)</f>
        <v>#N/A</v>
      </c>
      <c r="F40" s="111"/>
      <c r="G40" s="261" t="e">
        <f t="shared" si="5"/>
        <v>#N/A</v>
      </c>
      <c r="H40" s="282">
        <f t="shared" si="1"/>
        <v>1</v>
      </c>
    </row>
    <row r="41" spans="1:9" s="110" customFormat="1" ht="18" customHeight="1" thickBot="1">
      <c r="B41" s="62" t="s">
        <v>226</v>
      </c>
      <c r="C41" s="53">
        <v>21</v>
      </c>
      <c r="D41" s="265" t="e">
        <f>+VLOOKUP(B41,[15]Pasivo!$B:$E,3,0)</f>
        <v>#N/A</v>
      </c>
      <c r="E41" s="265" t="e">
        <f>+VLOOKUP(B41,[15]Pasivo!$B:$E,4,0)</f>
        <v>#N/A</v>
      </c>
      <c r="F41" s="111"/>
      <c r="G41" s="261" t="e">
        <f t="shared" si="5"/>
        <v>#N/A</v>
      </c>
      <c r="H41" s="282">
        <f t="shared" si="1"/>
        <v>1</v>
      </c>
      <c r="I41" s="110" t="s">
        <v>381</v>
      </c>
    </row>
    <row r="42" spans="1:9" s="111" customFormat="1" ht="26.25" thickBot="1">
      <c r="A42" s="110"/>
      <c r="B42" s="57" t="s">
        <v>262</v>
      </c>
      <c r="C42" s="421"/>
      <c r="D42" s="267" t="e">
        <f>SUM(D34:D41)</f>
        <v>#N/A</v>
      </c>
      <c r="E42" s="268" t="e">
        <f>SUM(E34:E41)</f>
        <v>#N/A</v>
      </c>
      <c r="G42" s="283" t="e">
        <f t="shared" si="5"/>
        <v>#N/A</v>
      </c>
      <c r="H42" s="284">
        <f t="shared" si="1"/>
        <v>1</v>
      </c>
    </row>
    <row r="43" spans="1:9" s="110" customFormat="1" ht="21.75" customHeight="1" thickBot="1">
      <c r="B43" s="62" t="s">
        <v>318</v>
      </c>
      <c r="C43" s="56"/>
      <c r="D43" s="265" t="e">
        <f>+VLOOKUP(B43,[15]Pasivo!$B:$E,3,0)</f>
        <v>#N/A</v>
      </c>
      <c r="E43" s="265" t="e">
        <f>+VLOOKUP(B43,[15]Pasivo!$B:$E,4,0)</f>
        <v>#N/A</v>
      </c>
      <c r="F43" s="111"/>
      <c r="G43" s="261" t="e">
        <f t="shared" ref="G43" si="8">ROUND(+(D43-E43),0)</f>
        <v>#N/A</v>
      </c>
      <c r="H43" s="282">
        <f t="shared" ref="H43" si="9">IFERROR(G43/E43,1)</f>
        <v>1</v>
      </c>
    </row>
    <row r="44" spans="1:9" s="111" customFormat="1" ht="21" customHeight="1" thickBot="1">
      <c r="A44" s="110"/>
      <c r="B44" s="420" t="s">
        <v>121</v>
      </c>
      <c r="C44" s="433"/>
      <c r="D44" s="267" t="e">
        <f>+D42+D43</f>
        <v>#N/A</v>
      </c>
      <c r="E44" s="268" t="e">
        <f>+E42+E43</f>
        <v>#N/A</v>
      </c>
      <c r="G44" s="283" t="e">
        <f>ROUND(+(D44-E44),0)</f>
        <v>#N/A</v>
      </c>
      <c r="H44" s="284">
        <f t="shared" si="1"/>
        <v>1</v>
      </c>
    </row>
    <row r="45" spans="1:9" s="110" customFormat="1" ht="21" customHeight="1">
      <c r="B45" s="428" t="s">
        <v>122</v>
      </c>
      <c r="C45" s="432"/>
      <c r="D45" s="265"/>
      <c r="E45" s="266"/>
      <c r="F45" s="111"/>
      <c r="G45" s="261"/>
      <c r="H45" s="282"/>
    </row>
    <row r="46" spans="1:9" s="110" customFormat="1" ht="18" customHeight="1">
      <c r="B46" s="62" t="s">
        <v>325</v>
      </c>
      <c r="C46" s="53">
        <v>17</v>
      </c>
      <c r="D46" s="265" t="e">
        <f>+VLOOKUP(B46,[15]Pasivo!$B:$E,3,0)</f>
        <v>#N/A</v>
      </c>
      <c r="E46" s="265" t="e">
        <f>+VLOOKUP(B46,[15]Pasivo!$B:$E,4,0)</f>
        <v>#N/A</v>
      </c>
      <c r="F46" s="111"/>
      <c r="G46" s="261" t="e">
        <f t="shared" ref="G46:G54" si="10">ROUND(+(D46-E46),0)</f>
        <v>#N/A</v>
      </c>
      <c r="H46" s="282">
        <f t="shared" si="1"/>
        <v>1</v>
      </c>
      <c r="I46" s="110" t="s">
        <v>382</v>
      </c>
    </row>
    <row r="47" spans="1:9" s="110" customFormat="1" ht="18" customHeight="1">
      <c r="B47" s="62" t="s">
        <v>327</v>
      </c>
      <c r="C47" s="53">
        <v>15</v>
      </c>
      <c r="D47" s="265" t="e">
        <f>+VLOOKUP(B47,[15]Pasivo!$B:$E,3,0)</f>
        <v>#N/A</v>
      </c>
      <c r="E47" s="265" t="e">
        <f>+VLOOKUP(B47,[15]Pasivo!$B:$E,4,0)</f>
        <v>#N/A</v>
      </c>
      <c r="F47" s="111"/>
      <c r="G47" s="261" t="e">
        <f t="shared" ref="G47" si="11">ROUND(+(D47-E47),0)</f>
        <v>#N/A</v>
      </c>
      <c r="H47" s="282">
        <f t="shared" ref="H47" si="12">IFERROR(G47/E47,1)</f>
        <v>1</v>
      </c>
    </row>
    <row r="48" spans="1:9" s="110" customFormat="1" ht="18" customHeight="1">
      <c r="B48" s="62" t="s">
        <v>125</v>
      </c>
      <c r="C48" s="53">
        <v>18</v>
      </c>
      <c r="D48" s="265" t="e">
        <f>+VLOOKUP(B48,[15]Pasivo!$B:$E,3,0)</f>
        <v>#N/A</v>
      </c>
      <c r="E48" s="265" t="e">
        <f>+VLOOKUP(B48,[15]Pasivo!$B:$E,4,0)</f>
        <v>#N/A</v>
      </c>
      <c r="F48" s="111"/>
      <c r="G48" s="261" t="e">
        <f t="shared" si="10"/>
        <v>#N/A</v>
      </c>
      <c r="H48" s="282">
        <f t="shared" si="1"/>
        <v>1</v>
      </c>
    </row>
    <row r="49" spans="1:8" s="110" customFormat="1" ht="18" customHeight="1">
      <c r="B49" s="62" t="s">
        <v>324</v>
      </c>
      <c r="C49" s="53"/>
      <c r="D49" s="265" t="e">
        <f>+VLOOKUP(B49,[15]Pasivo!$B:$E,3,0)</f>
        <v>#N/A</v>
      </c>
      <c r="E49" s="265" t="e">
        <f>+VLOOKUP(B49,[15]Pasivo!$B:$E,4,0)</f>
        <v>#N/A</v>
      </c>
      <c r="F49" s="111"/>
      <c r="G49" s="261" t="e">
        <f t="shared" ref="G49" si="13">ROUND(+(D49-E49),0)</f>
        <v>#N/A</v>
      </c>
      <c r="H49" s="282">
        <f t="shared" ref="H49" si="14">IFERROR(G49/E49,1)</f>
        <v>1</v>
      </c>
    </row>
    <row r="50" spans="1:8" s="110" customFormat="1" ht="18" customHeight="1">
      <c r="B50" s="62" t="s">
        <v>329</v>
      </c>
      <c r="C50" s="53">
        <v>19</v>
      </c>
      <c r="D50" s="265" t="e">
        <f>+VLOOKUP(B50,[15]Pasivo!$B:$E,3,0)</f>
        <v>#N/A</v>
      </c>
      <c r="E50" s="265" t="e">
        <f>+VLOOKUP(B50,[15]Pasivo!$B:$E,4,0)</f>
        <v>#N/A</v>
      </c>
      <c r="F50" s="111"/>
      <c r="G50" s="261" t="e">
        <f t="shared" si="10"/>
        <v>#N/A</v>
      </c>
      <c r="H50" s="282">
        <f t="shared" si="1"/>
        <v>1</v>
      </c>
    </row>
    <row r="51" spans="1:8" s="110" customFormat="1" ht="18" customHeight="1">
      <c r="B51" s="62" t="s">
        <v>124</v>
      </c>
      <c r="C51" s="53">
        <v>16</v>
      </c>
      <c r="D51" s="265" t="e">
        <f>+VLOOKUP(B51,[15]Pasivo!$B:$E,3,0)</f>
        <v>#N/A</v>
      </c>
      <c r="E51" s="265" t="e">
        <f>+VLOOKUP(B51,[15]Pasivo!$B:$E,4,0)</f>
        <v>#N/A</v>
      </c>
      <c r="F51" s="111"/>
      <c r="G51" s="261" t="e">
        <f t="shared" si="10"/>
        <v>#N/A</v>
      </c>
      <c r="H51" s="282">
        <f t="shared" si="1"/>
        <v>1</v>
      </c>
    </row>
    <row r="52" spans="1:8" s="110" customFormat="1" ht="18" customHeight="1">
      <c r="B52" s="62" t="s">
        <v>319</v>
      </c>
      <c r="C52" s="53">
        <v>20</v>
      </c>
      <c r="D52" s="265" t="e">
        <f>+VLOOKUP(B52,[15]Pasivo!$B:$E,3,0)</f>
        <v>#N/A</v>
      </c>
      <c r="E52" s="265" t="e">
        <f>+VLOOKUP(B52,[15]Pasivo!$B:$E,4,0)</f>
        <v>#N/A</v>
      </c>
      <c r="F52" s="111"/>
      <c r="G52" s="261" t="e">
        <f t="shared" si="10"/>
        <v>#N/A</v>
      </c>
      <c r="H52" s="282">
        <f t="shared" si="1"/>
        <v>1</v>
      </c>
    </row>
    <row r="53" spans="1:8" s="110" customFormat="1" ht="18" customHeight="1" thickBot="1">
      <c r="B53" s="62" t="s">
        <v>328</v>
      </c>
      <c r="C53" s="53">
        <v>21</v>
      </c>
      <c r="D53" s="265" t="e">
        <f>+VLOOKUP(B53,[15]Pasivo!$B:$E,3,0)</f>
        <v>#N/A</v>
      </c>
      <c r="E53" s="265" t="e">
        <f>+VLOOKUP(B53,[15]Pasivo!$B:$E,4,0)</f>
        <v>#N/A</v>
      </c>
      <c r="F53" s="111"/>
      <c r="G53" s="261" t="e">
        <f t="shared" si="10"/>
        <v>#N/A</v>
      </c>
      <c r="H53" s="282">
        <f t="shared" si="1"/>
        <v>1</v>
      </c>
    </row>
    <row r="54" spans="1:8" s="110" customFormat="1" ht="21" customHeight="1" thickBot="1">
      <c r="B54" s="420" t="s">
        <v>236</v>
      </c>
      <c r="C54" s="433"/>
      <c r="D54" s="267" t="e">
        <f>SUM(D46:D53)</f>
        <v>#N/A</v>
      </c>
      <c r="E54" s="268" t="e">
        <f>SUM(E46:E53)</f>
        <v>#N/A</v>
      </c>
      <c r="F54" s="111"/>
      <c r="G54" s="283" t="e">
        <f t="shared" si="10"/>
        <v>#N/A</v>
      </c>
      <c r="H54" s="284">
        <f t="shared" si="1"/>
        <v>1</v>
      </c>
    </row>
    <row r="55" spans="1:8" s="110" customFormat="1" ht="4.5" customHeight="1" thickBot="1">
      <c r="B55" s="62"/>
      <c r="C55" s="56"/>
      <c r="D55" s="265"/>
      <c r="E55" s="266"/>
      <c r="F55" s="111"/>
      <c r="G55" s="261"/>
      <c r="H55" s="282"/>
    </row>
    <row r="56" spans="1:8" s="110" customFormat="1" ht="21" customHeight="1" thickBot="1">
      <c r="B56" s="420" t="s">
        <v>126</v>
      </c>
      <c r="C56" s="433"/>
      <c r="D56" s="267" t="e">
        <f>+D54+D44</f>
        <v>#N/A</v>
      </c>
      <c r="E56" s="268" t="e">
        <f>+E54+E44</f>
        <v>#N/A</v>
      </c>
      <c r="F56" s="111"/>
      <c r="G56" s="283" t="e">
        <f>ROUND(+(D56-E56),0)</f>
        <v>#N/A</v>
      </c>
      <c r="H56" s="284">
        <f t="shared" ref="H56:H67" si="15">IFERROR(G56/E56,100)</f>
        <v>100</v>
      </c>
    </row>
    <row r="57" spans="1:8" s="110" customFormat="1" ht="21" customHeight="1">
      <c r="B57" s="428" t="s">
        <v>237</v>
      </c>
      <c r="C57" s="61"/>
      <c r="D57" s="275"/>
      <c r="E57" s="276"/>
      <c r="F57" s="111"/>
      <c r="G57" s="261"/>
      <c r="H57" s="282"/>
    </row>
    <row r="58" spans="1:8" s="110" customFormat="1" ht="18" customHeight="1">
      <c r="B58" s="62" t="s">
        <v>127</v>
      </c>
      <c r="C58" s="53">
        <v>22</v>
      </c>
      <c r="D58" s="265" t="e">
        <f>+VLOOKUP(B58,[15]Pasivo!$B:$E,3,0)</f>
        <v>#N/A</v>
      </c>
      <c r="E58" s="265" t="e">
        <f>+VLOOKUP(B58,[15]Pasivo!$B:$E,4,0)</f>
        <v>#N/A</v>
      </c>
      <c r="F58" s="111"/>
      <c r="G58" s="261" t="e">
        <f t="shared" ref="G58:G65" si="16">ROUND(+(D58-E58),0)</f>
        <v>#N/A</v>
      </c>
      <c r="H58" s="282">
        <f t="shared" si="15"/>
        <v>100</v>
      </c>
    </row>
    <row r="59" spans="1:8" s="110" customFormat="1" ht="18" customHeight="1">
      <c r="B59" s="62" t="s">
        <v>320</v>
      </c>
      <c r="C59" s="53">
        <v>22</v>
      </c>
      <c r="D59" s="265" t="e">
        <f>+VLOOKUP(B59,[15]Pasivo!$B:$E,3,0)</f>
        <v>#N/A</v>
      </c>
      <c r="E59" s="265" t="e">
        <f>+VLOOKUP(B59,[15]Pasivo!$B:$E,4,0)</f>
        <v>#N/A</v>
      </c>
      <c r="F59" s="111"/>
      <c r="G59" s="261" t="e">
        <f t="shared" si="16"/>
        <v>#N/A</v>
      </c>
      <c r="H59" s="282">
        <f t="shared" si="15"/>
        <v>100</v>
      </c>
    </row>
    <row r="60" spans="1:8" s="110" customFormat="1" ht="18" customHeight="1">
      <c r="B60" s="434" t="s">
        <v>321</v>
      </c>
      <c r="C60" s="53">
        <v>22</v>
      </c>
      <c r="D60" s="265" t="e">
        <f>+VLOOKUP(B60,[15]Pasivo!$B:$E,3,0)</f>
        <v>#N/A</v>
      </c>
      <c r="E60" s="265" t="e">
        <f>+VLOOKUP(B60,[15]Pasivo!$B:$E,4,0)</f>
        <v>#N/A</v>
      </c>
      <c r="F60" s="111"/>
      <c r="G60" s="261" t="e">
        <f t="shared" si="16"/>
        <v>#N/A</v>
      </c>
      <c r="H60" s="282">
        <f t="shared" si="15"/>
        <v>100</v>
      </c>
    </row>
    <row r="61" spans="1:8" s="111" customFormat="1" ht="18" customHeight="1">
      <c r="A61" s="110"/>
      <c r="B61" s="62" t="s">
        <v>128</v>
      </c>
      <c r="C61" s="53">
        <v>22</v>
      </c>
      <c r="D61" s="265" t="e">
        <f>+VLOOKUP(B61,[15]Pasivo!$B:$E,3,0)</f>
        <v>#N/A</v>
      </c>
      <c r="E61" s="265" t="e">
        <f>+VLOOKUP(B61,[15]Pasivo!$B:$E,4,0)</f>
        <v>#N/A</v>
      </c>
      <c r="G61" s="261" t="e">
        <f t="shared" si="16"/>
        <v>#N/A</v>
      </c>
      <c r="H61" s="282">
        <f t="shared" si="15"/>
        <v>100</v>
      </c>
    </row>
    <row r="62" spans="1:8" s="111" customFormat="1" ht="18" customHeight="1" thickBot="1">
      <c r="A62" s="110"/>
      <c r="B62" s="62" t="s">
        <v>294</v>
      </c>
      <c r="C62" s="53">
        <v>22</v>
      </c>
      <c r="D62" s="265" t="e">
        <f>+VLOOKUP(B62,[15]Pasivo!$B:$E,3,0)</f>
        <v>#N/A</v>
      </c>
      <c r="E62" s="265" t="e">
        <f>+VLOOKUP(B62,[15]Pasivo!$B:$E,4,0)</f>
        <v>#N/A</v>
      </c>
      <c r="G62" s="261" t="e">
        <f t="shared" si="16"/>
        <v>#N/A</v>
      </c>
      <c r="H62" s="282"/>
    </row>
    <row r="63" spans="1:8" s="111" customFormat="1" ht="21.75" customHeight="1" thickBot="1">
      <c r="A63" s="110"/>
      <c r="B63" s="435" t="s">
        <v>93</v>
      </c>
      <c r="C63" s="53"/>
      <c r="D63" s="271" t="e">
        <f>SUM(D58:D62)</f>
        <v>#N/A</v>
      </c>
      <c r="E63" s="272" t="e">
        <f>SUM(E58:E62)</f>
        <v>#N/A</v>
      </c>
      <c r="G63" s="283" t="e">
        <f>ROUND(+(D63-E63),0)</f>
        <v>#N/A</v>
      </c>
      <c r="H63" s="284">
        <f t="shared" si="15"/>
        <v>100</v>
      </c>
    </row>
    <row r="64" spans="1:8" s="111" customFormat="1" ht="21.75" customHeight="1" thickBot="1">
      <c r="A64" s="110"/>
      <c r="B64" s="62" t="s">
        <v>94</v>
      </c>
      <c r="C64" s="53">
        <v>23</v>
      </c>
      <c r="D64" s="265" t="e">
        <f>+VLOOKUP(B64,[15]Pasivo!$B:$E,3,0)</f>
        <v>#N/A</v>
      </c>
      <c r="E64" s="265" t="e">
        <f>+VLOOKUP(B64,[15]Pasivo!$B:$E,4,0)</f>
        <v>#N/A</v>
      </c>
      <c r="G64" s="261" t="e">
        <f t="shared" si="16"/>
        <v>#N/A</v>
      </c>
      <c r="H64" s="282">
        <f t="shared" si="15"/>
        <v>100</v>
      </c>
    </row>
    <row r="65" spans="1:8" s="111" customFormat="1" ht="18" customHeight="1" thickBot="1">
      <c r="A65" s="110"/>
      <c r="B65" s="420" t="s">
        <v>238</v>
      </c>
      <c r="C65" s="63"/>
      <c r="D65" s="267" t="e">
        <f>+D63+D64</f>
        <v>#N/A</v>
      </c>
      <c r="E65" s="268" t="e">
        <f>+E63+E64</f>
        <v>#N/A</v>
      </c>
      <c r="G65" s="283" t="e">
        <f t="shared" si="16"/>
        <v>#N/A</v>
      </c>
      <c r="H65" s="284">
        <f t="shared" si="15"/>
        <v>100</v>
      </c>
    </row>
    <row r="66" spans="1:8" s="110" customFormat="1" ht="11.25" customHeight="1" thickBot="1">
      <c r="B66" s="62"/>
      <c r="C66" s="56"/>
      <c r="D66" s="265"/>
      <c r="E66" s="266"/>
      <c r="F66" s="111"/>
      <c r="G66" s="261"/>
      <c r="H66" s="282"/>
    </row>
    <row r="67" spans="1:8" s="111" customFormat="1" ht="20.25" customHeight="1" thickBot="1">
      <c r="A67" s="110"/>
      <c r="B67" s="430" t="s">
        <v>239</v>
      </c>
      <c r="C67" s="436"/>
      <c r="D67" s="273" t="e">
        <f>+D65+D56</f>
        <v>#N/A</v>
      </c>
      <c r="E67" s="274" t="e">
        <f>+E65+E56</f>
        <v>#N/A</v>
      </c>
      <c r="G67" s="283" t="e">
        <f>ROUND(+(D67-E67),0)</f>
        <v>#N/A</v>
      </c>
      <c r="H67" s="284">
        <f t="shared" si="15"/>
        <v>100</v>
      </c>
    </row>
    <row r="69" spans="1:8" ht="15" customHeight="1">
      <c r="B69" s="437" t="s">
        <v>267</v>
      </c>
      <c r="C69" s="437"/>
      <c r="D69" s="438" t="e">
        <f>+D67-D28</f>
        <v>#N/A</v>
      </c>
      <c r="E69" s="438" t="e">
        <f>+E67-E28</f>
        <v>#N/A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92D050"/>
    <pageSetUpPr fitToPage="1"/>
  </sheetPr>
  <dimension ref="A1:M31"/>
  <sheetViews>
    <sheetView showGridLines="0" zoomScale="90" zoomScaleNormal="90" workbookViewId="0">
      <selection activeCell="O14" sqref="O14"/>
    </sheetView>
  </sheetViews>
  <sheetFormatPr baseColWidth="10" defaultColWidth="11.42578125" defaultRowHeight="12.75"/>
  <cols>
    <col min="1" max="1" width="7.5703125" style="90" customWidth="1"/>
    <col min="2" max="2" width="50.42578125" style="90" customWidth="1"/>
    <col min="3" max="3" width="7.5703125" style="90" customWidth="1"/>
    <col min="4" max="4" width="12.42578125" style="90" bestFit="1" customWidth="1"/>
    <col min="5" max="5" width="13.85546875" style="90" customWidth="1"/>
    <col min="6" max="7" width="11.42578125" style="90" customWidth="1"/>
    <col min="8" max="8" width="5" style="90" customWidth="1"/>
    <col min="9" max="9" width="11.42578125" style="277"/>
    <col min="10" max="11" width="12.5703125" style="278" customWidth="1"/>
    <col min="12" max="12" width="0" style="277" hidden="1" customWidth="1"/>
    <col min="13" max="13" width="12.5703125" style="278" hidden="1" customWidth="1"/>
    <col min="14" max="16384" width="11.42578125" style="90"/>
  </cols>
  <sheetData>
    <row r="1" spans="1:13">
      <c r="C1" s="106"/>
    </row>
    <row r="2" spans="1:13" ht="13.5" thickBot="1">
      <c r="C2" s="106"/>
      <c r="I2" s="472" t="s">
        <v>228</v>
      </c>
      <c r="J2" s="472"/>
      <c r="K2" s="315"/>
      <c r="L2" s="472" t="s">
        <v>229</v>
      </c>
      <c r="M2" s="472"/>
    </row>
    <row r="3" spans="1:13" s="82" customFormat="1" ht="25.5">
      <c r="A3" s="107"/>
      <c r="B3" s="468" t="s">
        <v>263</v>
      </c>
      <c r="C3" s="464" t="s">
        <v>105</v>
      </c>
      <c r="D3" s="346">
        <v>45565</v>
      </c>
      <c r="E3" s="346">
        <v>45199</v>
      </c>
      <c r="F3" s="402" t="s">
        <v>365</v>
      </c>
      <c r="G3" s="402" t="s">
        <v>366</v>
      </c>
      <c r="I3" s="470" t="s">
        <v>227</v>
      </c>
      <c r="J3" s="471"/>
      <c r="K3" s="316"/>
      <c r="L3" s="470" t="s">
        <v>227</v>
      </c>
      <c r="M3" s="471"/>
    </row>
    <row r="4" spans="1:13" s="82" customFormat="1" ht="16.5" customHeight="1">
      <c r="B4" s="469"/>
      <c r="C4" s="465"/>
      <c r="D4" s="52" t="s">
        <v>8</v>
      </c>
      <c r="E4" s="52" t="s">
        <v>8</v>
      </c>
      <c r="F4" s="403" t="s">
        <v>8</v>
      </c>
      <c r="G4" s="410" t="s">
        <v>8</v>
      </c>
      <c r="I4" s="280" t="s">
        <v>8</v>
      </c>
      <c r="J4" s="281" t="s">
        <v>70</v>
      </c>
      <c r="K4" s="317"/>
      <c r="L4" s="280" t="s">
        <v>8</v>
      </c>
      <c r="M4" s="281"/>
    </row>
    <row r="5" spans="1:13" s="82" customFormat="1" ht="21" customHeight="1">
      <c r="B5" s="64" t="s">
        <v>264</v>
      </c>
      <c r="C5" s="56">
        <v>25</v>
      </c>
      <c r="D5" s="54" t="e">
        <f>+VLOOKUP(B5,#REF! [14]Result!$B:$G,3,0)</f>
        <v>#REF!</v>
      </c>
      <c r="E5" s="54" t="e">
        <f>+VLOOKUP(B5,#REF! [14]Result!$B:$G,4,0)</f>
        <v>#REF!</v>
      </c>
      <c r="F5" s="54" t="e">
        <f>+VLOOKUP(B5,#REF! [14]Result!$B:$G,5,0)</f>
        <v>#REF!</v>
      </c>
      <c r="G5" s="54" t="e">
        <f>+VLOOKUP(B5,#REF! [14]Result!$B:$G,6,0)</f>
        <v>#REF!</v>
      </c>
      <c r="H5" s="81"/>
      <c r="I5" s="261" t="e">
        <f t="shared" ref="I5:I11" si="0">+ROUND((D5-E5),0)</f>
        <v>#REF!</v>
      </c>
      <c r="J5" s="285">
        <f t="shared" ref="J5:J11" si="1">IFERROR(I5/E5,1)</f>
        <v>1</v>
      </c>
      <c r="K5" s="318"/>
      <c r="L5" s="261" t="e">
        <f>+ROUND((#REF!-#REF!),0)</f>
        <v>#REF!</v>
      </c>
      <c r="M5" s="285">
        <f>IFERROR(L5/#REF!,1)</f>
        <v>1</v>
      </c>
    </row>
    <row r="6" spans="1:13" s="82" customFormat="1" ht="21" customHeight="1">
      <c r="B6" s="64" t="s">
        <v>99</v>
      </c>
      <c r="C6" s="56"/>
      <c r="D6" s="54" t="e">
        <f>+VLOOKUP(B6,#REF! [14]Result!$B:$G,3,0)</f>
        <v>#REF!</v>
      </c>
      <c r="E6" s="54" t="e">
        <f>+VLOOKUP(B6,#REF! [14]Result!$B:$G,4,0)</f>
        <v>#REF!</v>
      </c>
      <c r="F6" s="54" t="e">
        <f>+VLOOKUP(B6,#REF! [14]Result!$B:$G,5,0)</f>
        <v>#REF!</v>
      </c>
      <c r="G6" s="54" t="e">
        <f>+VLOOKUP(B6,#REF! [14]Result!$B:$G,6,0)</f>
        <v>#REF!</v>
      </c>
      <c r="H6" s="81"/>
      <c r="I6" s="261" t="e">
        <f t="shared" si="0"/>
        <v>#REF!</v>
      </c>
      <c r="J6" s="285">
        <f t="shared" si="1"/>
        <v>1</v>
      </c>
      <c r="K6" s="318"/>
      <c r="L6" s="261" t="e">
        <f>+ROUND((#REF!-#REF!),0)</f>
        <v>#REF!</v>
      </c>
      <c r="M6" s="285">
        <f>IFERROR(L6/#REF!,1)</f>
        <v>1</v>
      </c>
    </row>
    <row r="7" spans="1:13" s="82" customFormat="1" ht="21" customHeight="1">
      <c r="B7" s="64" t="s">
        <v>90</v>
      </c>
      <c r="C7" s="56">
        <v>20</v>
      </c>
      <c r="D7" s="54" t="e">
        <f>+VLOOKUP(B7,#REF! [14]Result!$B:$G,3,0)</f>
        <v>#REF!</v>
      </c>
      <c r="E7" s="54" t="e">
        <f>+VLOOKUP(B7,#REF! [14]Result!$B:$G,4,0)</f>
        <v>#REF!</v>
      </c>
      <c r="F7" s="54" t="e">
        <f>+VLOOKUP(B7,#REF! [14]Result!$B:$G,5,0)</f>
        <v>#REF!</v>
      </c>
      <c r="G7" s="54" t="e">
        <f>+VLOOKUP(B7,#REF! [14]Result!$B:$G,6,0)</f>
        <v>#REF!</v>
      </c>
      <c r="H7" s="81"/>
      <c r="I7" s="261" t="e">
        <f t="shared" si="0"/>
        <v>#REF!</v>
      </c>
      <c r="J7" s="285">
        <f t="shared" si="1"/>
        <v>1</v>
      </c>
      <c r="K7" s="318"/>
      <c r="L7" s="261" t="e">
        <f>+ROUND((#REF!-#REF!),0)</f>
        <v>#REF!</v>
      </c>
      <c r="M7" s="285">
        <f>IFERROR(L7/#REF!,1)</f>
        <v>1</v>
      </c>
    </row>
    <row r="8" spans="1:13" s="82" customFormat="1" ht="21" customHeight="1">
      <c r="B8" s="64" t="s">
        <v>307</v>
      </c>
      <c r="C8" s="56" t="s">
        <v>351</v>
      </c>
      <c r="D8" s="54" t="e">
        <f>+VLOOKUP(B8,#REF! [14]Result!$B:$G,3,0)</f>
        <v>#REF!</v>
      </c>
      <c r="E8" s="54" t="e">
        <f>+VLOOKUP(B8,#REF! [14]Result!$B:$G,4,0)</f>
        <v>#REF!</v>
      </c>
      <c r="F8" s="54" t="e">
        <f>+VLOOKUP(B8,#REF! [14]Result!$B:$G,5,0)</f>
        <v>#REF!</v>
      </c>
      <c r="G8" s="54" t="e">
        <f>+VLOOKUP(B8,#REF! [14]Result!$B:$G,6,0)</f>
        <v>#REF!</v>
      </c>
      <c r="H8" s="81"/>
      <c r="I8" s="261" t="e">
        <f t="shared" si="0"/>
        <v>#REF!</v>
      </c>
      <c r="J8" s="285">
        <f t="shared" si="1"/>
        <v>1</v>
      </c>
      <c r="K8" s="318"/>
      <c r="L8" s="261" t="e">
        <f>+ROUND((#REF!-#REF!),0)</f>
        <v>#REF!</v>
      </c>
      <c r="M8" s="285">
        <f>IFERROR(L8/#REF!,1)</f>
        <v>1</v>
      </c>
    </row>
    <row r="9" spans="1:13" s="82" customFormat="1" ht="21" customHeight="1">
      <c r="B9" s="66" t="s">
        <v>308</v>
      </c>
      <c r="C9" s="65" t="s">
        <v>352</v>
      </c>
      <c r="D9" s="54" t="e">
        <f>+VLOOKUP(B9,#REF! [14]Result!$B:$G,3,0)</f>
        <v>#REF!</v>
      </c>
      <c r="E9" s="54" t="e">
        <f>+VLOOKUP(B9,#REF! [14]Result!$B:$G,4,0)</f>
        <v>#REF!</v>
      </c>
      <c r="F9" s="54" t="e">
        <f>+VLOOKUP(B9,#REF! [14]Result!$B:$G,5,0)</f>
        <v>#REF!</v>
      </c>
      <c r="G9" s="54" t="e">
        <f>+VLOOKUP(B9,#REF! [14]Result!$B:$G,6,0)</f>
        <v>#REF!</v>
      </c>
      <c r="H9" s="81"/>
      <c r="I9" s="261" t="e">
        <f t="shared" si="0"/>
        <v>#REF!</v>
      </c>
      <c r="J9" s="285">
        <f t="shared" si="1"/>
        <v>1</v>
      </c>
      <c r="K9" s="318"/>
      <c r="L9" s="261" t="e">
        <f>+ROUND((#REF!-#REF!),0)</f>
        <v>#REF!</v>
      </c>
      <c r="M9" s="285">
        <f>IFERROR(L9/#REF!,1)</f>
        <v>1</v>
      </c>
    </row>
    <row r="10" spans="1:13" s="82" customFormat="1" ht="21" customHeight="1">
      <c r="B10" s="64" t="s">
        <v>92</v>
      </c>
      <c r="C10" s="56">
        <v>26</v>
      </c>
      <c r="D10" s="54" t="e">
        <f>+VLOOKUP(B10,#REF! [14]Result!$B:$G,3,0)</f>
        <v>#REF!</v>
      </c>
      <c r="E10" s="54" t="e">
        <f>+VLOOKUP(B10,#REF! [14]Result!$B:$G,4,0)</f>
        <v>#REF!</v>
      </c>
      <c r="F10" s="54" t="e">
        <f>+VLOOKUP(B10,#REF! [14]Result!$B:$G,5,0)</f>
        <v>#REF!</v>
      </c>
      <c r="G10" s="54" t="e">
        <f>+VLOOKUP(B10,#REF! [14]Result!$B:$G,6,0)</f>
        <v>#REF!</v>
      </c>
      <c r="H10" s="81"/>
      <c r="I10" s="261" t="e">
        <f t="shared" si="0"/>
        <v>#REF!</v>
      </c>
      <c r="J10" s="285">
        <f t="shared" si="1"/>
        <v>1</v>
      </c>
      <c r="K10" s="318"/>
      <c r="L10" s="261" t="e">
        <f>+ROUND((#REF!-#REF!),0)</f>
        <v>#REF!</v>
      </c>
      <c r="M10" s="285">
        <f>IFERROR(L10/#REF!,1)</f>
        <v>1</v>
      </c>
    </row>
    <row r="11" spans="1:13" s="82" customFormat="1" ht="21" customHeight="1">
      <c r="B11" s="64" t="s">
        <v>256</v>
      </c>
      <c r="C11" s="56">
        <v>27</v>
      </c>
      <c r="D11" s="54" t="e">
        <f>+VLOOKUP(B11,#REF! [14]Result!$B:$G,3,0)</f>
        <v>#REF!</v>
      </c>
      <c r="E11" s="54" t="e">
        <f>+VLOOKUP(B11,#REF! [14]Result!$B:$G,4,0)</f>
        <v>#REF!</v>
      </c>
      <c r="F11" s="54" t="e">
        <f>+VLOOKUP(B11,#REF! [14]Result!$B:$G,5,0)</f>
        <v>#REF!</v>
      </c>
      <c r="G11" s="54" t="e">
        <f>+VLOOKUP(B11,#REF! [14]Result!$B:$G,6,0)</f>
        <v>#REF!</v>
      </c>
      <c r="H11" s="81"/>
      <c r="I11" s="261" t="e">
        <f t="shared" si="0"/>
        <v>#REF!</v>
      </c>
      <c r="J11" s="285">
        <f t="shared" si="1"/>
        <v>1</v>
      </c>
      <c r="K11" s="318"/>
      <c r="L11" s="261" t="e">
        <f>+ROUND((#REF!-#REF!),0)</f>
        <v>#REF!</v>
      </c>
      <c r="M11" s="285">
        <f>IFERROR(L11/#REF!,1)</f>
        <v>1</v>
      </c>
    </row>
    <row r="12" spans="1:13" s="82" customFormat="1" ht="21" customHeight="1">
      <c r="B12" s="296" t="s">
        <v>273</v>
      </c>
      <c r="C12" s="297"/>
      <c r="D12" s="297" t="e">
        <f>+SUM(D5:D11)</f>
        <v>#REF!</v>
      </c>
      <c r="E12" s="297" t="e">
        <f t="shared" ref="E12:G12" si="2">+SUM(E5:E11)</f>
        <v>#REF!</v>
      </c>
      <c r="F12" s="297" t="e">
        <f t="shared" si="2"/>
        <v>#REF!</v>
      </c>
      <c r="G12" s="297" t="e">
        <f t="shared" si="2"/>
        <v>#REF!</v>
      </c>
      <c r="H12" s="81"/>
      <c r="I12" s="261"/>
      <c r="J12" s="285"/>
      <c r="K12" s="318"/>
      <c r="L12" s="261"/>
      <c r="M12" s="285"/>
    </row>
    <row r="13" spans="1:13" s="82" customFormat="1" ht="21" customHeight="1">
      <c r="B13" s="64" t="s">
        <v>96</v>
      </c>
      <c r="C13" s="56">
        <v>27</v>
      </c>
      <c r="D13" s="54" t="e">
        <f>+VLOOKUP(B13,#REF! [14]Result!$B:$G,3,0)</f>
        <v>#REF!</v>
      </c>
      <c r="E13" s="54" t="e">
        <f>+VLOOKUP(B13,#REF! [14]Result!$B:$G,4,0)</f>
        <v>#REF!</v>
      </c>
      <c r="F13" s="54" t="e">
        <f>+VLOOKUP(B13,#REF! [14]Result!$B:$G,5,0)</f>
        <v>#REF!</v>
      </c>
      <c r="G13" s="54" t="e">
        <f>+VLOOKUP(B13,#REF! [14]Result!$B:$G,6,0)</f>
        <v>#REF!</v>
      </c>
      <c r="H13" s="81"/>
      <c r="I13" s="261" t="e">
        <f>+ROUND((D13-E13),0)</f>
        <v>#REF!</v>
      </c>
      <c r="J13" s="285">
        <f>IFERROR(I13/E13,1)</f>
        <v>1</v>
      </c>
      <c r="K13" s="318"/>
      <c r="L13" s="261" t="e">
        <f>+ROUND((#REF!-#REF!),0)</f>
        <v>#REF!</v>
      </c>
      <c r="M13" s="285">
        <f>IFERROR(L13/#REF!,1)</f>
        <v>1</v>
      </c>
    </row>
    <row r="14" spans="1:13" s="82" customFormat="1" ht="21" customHeight="1">
      <c r="B14" s="64" t="s">
        <v>309</v>
      </c>
      <c r="C14" s="56">
        <v>27</v>
      </c>
      <c r="D14" s="54" t="e">
        <f>+VLOOKUP(B14,#REF! [14]Result!$B:$G,3,0)</f>
        <v>#REF!</v>
      </c>
      <c r="E14" s="54" t="e">
        <f>+VLOOKUP(B14,#REF! [14]Result!$B:$G,4,0)</f>
        <v>#REF!</v>
      </c>
      <c r="F14" s="54" t="e">
        <f>+VLOOKUP(B14,#REF! [14]Result!$B:$G,5,0)</f>
        <v>#REF!</v>
      </c>
      <c r="G14" s="54" t="e">
        <f>+VLOOKUP(B14,#REF! [14]Result!$B:$G,6,0)</f>
        <v>#REF!</v>
      </c>
      <c r="H14" s="81"/>
      <c r="I14" s="261" t="e">
        <f>+ROUND((D14-E14),0)</f>
        <v>#REF!</v>
      </c>
      <c r="J14" s="285">
        <f>IFERROR(I14/E14,1)</f>
        <v>1</v>
      </c>
      <c r="K14" s="318"/>
      <c r="L14" s="261" t="e">
        <f>+ROUND((#REF!-#REF!),0)</f>
        <v>#REF!</v>
      </c>
      <c r="M14" s="285">
        <f>IFERROR(L14/#REF!,1)</f>
        <v>1</v>
      </c>
    </row>
    <row r="15" spans="1:13" s="82" customFormat="1" ht="21" customHeight="1">
      <c r="B15" s="64" t="s">
        <v>274</v>
      </c>
      <c r="C15" s="56">
        <v>28</v>
      </c>
      <c r="D15" s="54" t="e">
        <f>+VLOOKUP(B15,#REF! [14]Result!$B:$G,3,0)</f>
        <v>#REF!</v>
      </c>
      <c r="E15" s="54" t="e">
        <f>+VLOOKUP(B15,#REF! [14]Result!$B:$G,4,0)</f>
        <v>#REF!</v>
      </c>
      <c r="F15" s="54" t="e">
        <f>+VLOOKUP(B15,#REF! [14]Result!$B:$G,5,0)</f>
        <v>#REF!</v>
      </c>
      <c r="G15" s="54" t="e">
        <f>+VLOOKUP(B15,#REF! [14]Result!$B:$G,6,0)</f>
        <v>#REF!</v>
      </c>
      <c r="H15" s="81"/>
      <c r="I15" s="261" t="e">
        <f>+ROUND((D15-E15),0)</f>
        <v>#REF!</v>
      </c>
      <c r="J15" s="285">
        <f>IFERROR(I15/E15,1)</f>
        <v>1</v>
      </c>
      <c r="K15" s="318"/>
      <c r="L15" s="261" t="e">
        <f>+ROUND((#REF!-#REF!),0)</f>
        <v>#REF!</v>
      </c>
      <c r="M15" s="285">
        <f>IFERROR(L15/#REF!,1)</f>
        <v>1</v>
      </c>
    </row>
    <row r="16" spans="1:13" s="82" customFormat="1" ht="21" customHeight="1">
      <c r="B16" s="64" t="s">
        <v>310</v>
      </c>
      <c r="C16" s="56">
        <v>29</v>
      </c>
      <c r="D16" s="54" t="e">
        <f>+VLOOKUP(B16,#REF! [14]Result!$B:$G,3,0)</f>
        <v>#REF!</v>
      </c>
      <c r="E16" s="54" t="e">
        <f>+VLOOKUP(B16,#REF! [14]Result!$B:$G,4,0)</f>
        <v>#REF!</v>
      </c>
      <c r="F16" s="54" t="e">
        <f>+VLOOKUP(B16,#REF! [14]Result!$B:$G,5,0)</f>
        <v>#REF!</v>
      </c>
      <c r="G16" s="54" t="e">
        <f>+VLOOKUP(B16,#REF! [14]Result!$B:$G,6,0)</f>
        <v>#REF!</v>
      </c>
      <c r="H16" s="81"/>
      <c r="I16" s="261" t="e">
        <f>+ROUND((D16-E16),0)</f>
        <v>#REF!</v>
      </c>
      <c r="J16" s="285">
        <f>IFERROR(I16/E16,1)</f>
        <v>1</v>
      </c>
      <c r="K16" s="318"/>
      <c r="L16" s="261" t="e">
        <f>+ROUND((#REF!-#REF!),0)</f>
        <v>#REF!</v>
      </c>
      <c r="M16" s="285">
        <f>IFERROR(L16/#REF!,1)</f>
        <v>1</v>
      </c>
    </row>
    <row r="17" spans="2:13" s="82" customFormat="1" ht="21" customHeight="1" thickBot="1">
      <c r="B17" s="64" t="s">
        <v>284</v>
      </c>
      <c r="C17" s="56"/>
      <c r="D17" s="54"/>
      <c r="E17" s="54"/>
      <c r="F17" s="404"/>
      <c r="G17" s="55"/>
      <c r="H17" s="81"/>
      <c r="I17" s="261"/>
      <c r="J17" s="285"/>
      <c r="K17" s="318"/>
      <c r="L17" s="261"/>
      <c r="M17" s="285"/>
    </row>
    <row r="18" spans="2:13" s="82" customFormat="1" ht="21" customHeight="1" thickBot="1">
      <c r="B18" s="68" t="s">
        <v>240</v>
      </c>
      <c r="C18" s="69"/>
      <c r="D18" s="70" t="e">
        <f>SUM(D12:D16)</f>
        <v>#REF!</v>
      </c>
      <c r="E18" s="70" t="e">
        <f>SUM(E12:E16)</f>
        <v>#REF!</v>
      </c>
      <c r="F18" s="405" t="e">
        <f t="shared" ref="F18:G18" si="3">SUM(F12:F16)</f>
        <v>#REF!</v>
      </c>
      <c r="G18" s="411" t="e">
        <f t="shared" si="3"/>
        <v>#REF!</v>
      </c>
      <c r="H18" s="81"/>
      <c r="I18" s="283" t="e">
        <f>+ROUND((D18-E18),0)</f>
        <v>#REF!</v>
      </c>
      <c r="J18" s="288">
        <f>IFERROR(I18/E18,1)</f>
        <v>1</v>
      </c>
      <c r="K18" s="319"/>
      <c r="L18" s="283" t="e">
        <f>+ROUND((#REF!-#REF!),0)</f>
        <v>#REF!</v>
      </c>
      <c r="M18" s="288">
        <f>IFERROR(L18/#REF!,1)</f>
        <v>1</v>
      </c>
    </row>
    <row r="19" spans="2:13" s="82" customFormat="1" ht="21" customHeight="1" thickBot="1">
      <c r="B19" s="64" t="s">
        <v>311</v>
      </c>
      <c r="C19" s="56">
        <v>16</v>
      </c>
      <c r="D19" s="54" t="e">
        <f>+VLOOKUP(B19,#REF! [14]Result!$B:$G,3,0)</f>
        <v>#REF!</v>
      </c>
      <c r="E19" s="54" t="e">
        <f>+VLOOKUP(B19,#REF! [14]Result!$B:$G,4,0)</f>
        <v>#REF!</v>
      </c>
      <c r="F19" s="54" t="e">
        <f>+VLOOKUP(B19,#REF! [14]Result!$B:$G,5,0)</f>
        <v>#REF!</v>
      </c>
      <c r="G19" s="54" t="e">
        <f>+VLOOKUP(B19,#REF! [14]Result!$B:$G,6,0)</f>
        <v>#REF!</v>
      </c>
      <c r="H19" s="81"/>
      <c r="I19" s="261" t="e">
        <f>+ROUND((D19-E19),0)</f>
        <v>#REF!</v>
      </c>
      <c r="J19" s="285">
        <f>IFERROR(I19/E19,1)</f>
        <v>1</v>
      </c>
      <c r="K19" s="318"/>
      <c r="L19" s="261" t="e">
        <f>+ROUND((#REF!-#REF!),0)</f>
        <v>#REF!</v>
      </c>
      <c r="M19" s="285">
        <f>IFERROR(L19/#REF!,1)</f>
        <v>1</v>
      </c>
    </row>
    <row r="20" spans="2:13" s="82" customFormat="1" ht="21" customHeight="1" thickBot="1">
      <c r="B20" s="68" t="s">
        <v>241</v>
      </c>
      <c r="C20" s="71"/>
      <c r="D20" s="70" t="e">
        <f>+D18+D19</f>
        <v>#REF!</v>
      </c>
      <c r="E20" s="70" t="e">
        <f>+E18+E19</f>
        <v>#REF!</v>
      </c>
      <c r="F20" s="405" t="e">
        <f t="shared" ref="F20:G20" si="4">+F18+F19</f>
        <v>#REF!</v>
      </c>
      <c r="G20" s="411" t="e">
        <f t="shared" si="4"/>
        <v>#REF!</v>
      </c>
      <c r="H20" s="81"/>
      <c r="I20" s="283" t="e">
        <f>+ROUND((D20-E20),0)</f>
        <v>#REF!</v>
      </c>
      <c r="J20" s="288">
        <f>IFERROR(I20/E20,1)</f>
        <v>1</v>
      </c>
      <c r="K20" s="319"/>
      <c r="L20" s="283" t="e">
        <f>+ROUND((#REF!-#REF!),0)</f>
        <v>#REF!</v>
      </c>
      <c r="M20" s="288">
        <f>IFERROR(L20/#REF!,1)</f>
        <v>1</v>
      </c>
    </row>
    <row r="21" spans="2:13" s="82" customFormat="1" ht="23.25" customHeight="1">
      <c r="B21" s="66" t="s">
        <v>285</v>
      </c>
      <c r="C21" s="72"/>
      <c r="D21" s="54" t="e">
        <f>+VLOOKUP(B21,#REF! [14]Result!$B:$G,3,0)</f>
        <v>#REF!</v>
      </c>
      <c r="E21" s="54" t="e">
        <f>+VLOOKUP(B21,#REF! [14]Result!$B:$G,4,0)</f>
        <v>#REF!</v>
      </c>
      <c r="F21" s="54" t="e">
        <f>+VLOOKUP(B21,#REF! [14]Result!$B:$G,5,0)</f>
        <v>#REF!</v>
      </c>
      <c r="G21" s="54" t="e">
        <f>+VLOOKUP(B21,#REF! [14]Result!$B:$G,6,0)</f>
        <v>#REF!</v>
      </c>
      <c r="H21" s="81"/>
      <c r="I21" s="261" t="e">
        <f>+ROUND((D21-E21),0)</f>
        <v>#REF!</v>
      </c>
      <c r="J21" s="285">
        <f>IFERROR(I21/E21,1)</f>
        <v>1</v>
      </c>
      <c r="K21" s="318"/>
      <c r="L21" s="261" t="e">
        <f>+ROUND((#REF!-#REF!),0)</f>
        <v>#REF!</v>
      </c>
      <c r="M21" s="285">
        <f>IFERROR(L21/#REF!,1)</f>
        <v>1</v>
      </c>
    </row>
    <row r="22" spans="2:13" s="82" customFormat="1" ht="23.25" customHeight="1" thickBot="1">
      <c r="B22" s="66"/>
      <c r="C22" s="72"/>
      <c r="D22" s="54"/>
      <c r="E22" s="54"/>
      <c r="F22" s="404"/>
      <c r="G22" s="55"/>
      <c r="H22" s="81"/>
      <c r="I22" s="261"/>
      <c r="J22" s="285"/>
      <c r="K22" s="318"/>
      <c r="L22" s="261"/>
      <c r="M22" s="285"/>
    </row>
    <row r="23" spans="2:13" s="82" customFormat="1" ht="21" customHeight="1" thickBot="1">
      <c r="B23" s="68" t="s">
        <v>129</v>
      </c>
      <c r="C23" s="71"/>
      <c r="D23" s="70" t="e">
        <f>+D20+D21</f>
        <v>#REF!</v>
      </c>
      <c r="E23" s="70" t="e">
        <f t="shared" ref="E23:G23" si="5">+E20+E21</f>
        <v>#REF!</v>
      </c>
      <c r="F23" s="405" t="e">
        <f t="shared" si="5"/>
        <v>#REF!</v>
      </c>
      <c r="G23" s="411" t="e">
        <f t="shared" si="5"/>
        <v>#REF!</v>
      </c>
      <c r="H23" s="81"/>
      <c r="I23" s="283" t="e">
        <f>+ROUND((D23-E23),0)</f>
        <v>#REF!</v>
      </c>
      <c r="J23" s="288">
        <f>IFERROR(I23/E23,1)</f>
        <v>1</v>
      </c>
      <c r="K23" s="319"/>
      <c r="L23" s="283" t="e">
        <f>+ROUND((#REF!-#REF!),0)</f>
        <v>#REF!</v>
      </c>
      <c r="M23" s="288">
        <f>IFERROR(L23/#REF!,1)</f>
        <v>1</v>
      </c>
    </row>
    <row r="24" spans="2:13" s="82" customFormat="1" ht="21" customHeight="1" thickBot="1">
      <c r="B24" s="73" t="s">
        <v>242</v>
      </c>
      <c r="C24" s="74" t="s">
        <v>4</v>
      </c>
      <c r="D24" s="75"/>
      <c r="E24" s="67"/>
      <c r="F24" s="406"/>
      <c r="G24" s="412"/>
      <c r="H24" s="81"/>
      <c r="I24" s="261"/>
      <c r="J24" s="285"/>
      <c r="K24" s="318"/>
      <c r="L24" s="261"/>
      <c r="M24" s="285"/>
    </row>
    <row r="25" spans="2:13" s="82" customFormat="1" ht="21" customHeight="1" thickBot="1">
      <c r="B25" s="76" t="s">
        <v>102</v>
      </c>
      <c r="C25" s="71"/>
      <c r="D25" s="77" t="e">
        <f>+D23-D26</f>
        <v>#REF!</v>
      </c>
      <c r="E25" s="77" t="e">
        <f>+E23-E26</f>
        <v>#REF!</v>
      </c>
      <c r="F25" s="77" t="e">
        <f t="shared" ref="F25:G25" si="6">+F23-F26</f>
        <v>#REF!</v>
      </c>
      <c r="G25" s="77" t="e">
        <f t="shared" si="6"/>
        <v>#REF!</v>
      </c>
      <c r="H25" s="81"/>
      <c r="I25" s="283" t="e">
        <f>+ROUND((D25-E25),0)</f>
        <v>#REF!</v>
      </c>
      <c r="J25" s="288">
        <f>IFERROR(I25/E25,1)</f>
        <v>1</v>
      </c>
      <c r="K25" s="319"/>
      <c r="L25" s="283" t="e">
        <f>+ROUND((#REF!-#REF!),0)</f>
        <v>#REF!</v>
      </c>
      <c r="M25" s="288">
        <f>IFERROR(L25/#REF!,1)</f>
        <v>1</v>
      </c>
    </row>
    <row r="26" spans="2:13" s="82" customFormat="1" ht="21" customHeight="1" thickBot="1">
      <c r="B26" s="66" t="s">
        <v>350</v>
      </c>
      <c r="C26" s="56">
        <v>23</v>
      </c>
      <c r="D26" s="54" t="e">
        <f>+VLOOKUP(B26,#REF! [14]Result!$B:$G,3,0)</f>
        <v>#REF!</v>
      </c>
      <c r="E26" s="54" t="e">
        <f>+VLOOKUP(B26,#REF! [14]Result!$B:$G,4,0)</f>
        <v>#REF!</v>
      </c>
      <c r="F26" s="54" t="e">
        <f>+VLOOKUP(B26,#REF! [14]Result!$B:$G,5,0)</f>
        <v>#REF!</v>
      </c>
      <c r="G26" s="54" t="e">
        <f>+VLOOKUP(B26,#REF! [14]Result!$B:$G,6,0)</f>
        <v>#REF!</v>
      </c>
      <c r="H26" s="81"/>
      <c r="I26" s="261" t="e">
        <f>+ROUND((D26-E26),0)</f>
        <v>#REF!</v>
      </c>
      <c r="J26" s="285">
        <f>IFERROR(I26/E26,1)</f>
        <v>1</v>
      </c>
      <c r="K26" s="318"/>
      <c r="L26" s="261" t="e">
        <f>+ROUND((#REF!-#REF!),0)</f>
        <v>#REF!</v>
      </c>
      <c r="M26" s="285">
        <f>IFERROR(L26/#REF!,1)</f>
        <v>1</v>
      </c>
    </row>
    <row r="27" spans="2:13" s="82" customFormat="1" ht="21" customHeight="1" thickBot="1">
      <c r="B27" s="78" t="s">
        <v>130</v>
      </c>
      <c r="C27" s="79"/>
      <c r="D27" s="77" t="e">
        <f>+D25+D26</f>
        <v>#REF!</v>
      </c>
      <c r="E27" s="77" t="e">
        <f t="shared" ref="E27:G27" si="7">+E25+E26</f>
        <v>#REF!</v>
      </c>
      <c r="F27" s="407" t="e">
        <f t="shared" si="7"/>
        <v>#REF!</v>
      </c>
      <c r="G27" s="413" t="e">
        <f t="shared" si="7"/>
        <v>#REF!</v>
      </c>
      <c r="H27" s="81"/>
      <c r="I27" s="283" t="e">
        <f>+ROUND((D27-E27),0)</f>
        <v>#REF!</v>
      </c>
      <c r="J27" s="288">
        <f>IFERROR(I27/E27,1)</f>
        <v>1</v>
      </c>
      <c r="K27" s="319"/>
      <c r="L27" s="283" t="e">
        <f>+ROUND((#REF!-#REF!),0)</f>
        <v>#REF!</v>
      </c>
      <c r="M27" s="288">
        <f>IFERROR(L27/#REF!,1)</f>
        <v>1</v>
      </c>
    </row>
    <row r="28" spans="2:13" s="82" customFormat="1" ht="21" customHeight="1">
      <c r="B28" s="80" t="s">
        <v>243</v>
      </c>
      <c r="C28" s="74"/>
      <c r="D28" s="81"/>
      <c r="E28" s="67"/>
      <c r="G28" s="412"/>
      <c r="I28" s="261"/>
      <c r="J28" s="285"/>
      <c r="K28" s="318"/>
      <c r="L28" s="261"/>
      <c r="M28" s="285"/>
    </row>
    <row r="29" spans="2:13" s="82" customFormat="1" ht="21" customHeight="1">
      <c r="B29" s="256" t="s">
        <v>269</v>
      </c>
      <c r="C29" s="56">
        <v>31</v>
      </c>
      <c r="D29" s="257" t="e">
        <f>+D25/6118965</f>
        <v>#REF!</v>
      </c>
      <c r="E29" s="257" t="e">
        <f>+E25/6118965</f>
        <v>#REF!</v>
      </c>
      <c r="F29" s="408" t="e">
        <f>+F25/6118965</f>
        <v>#REF!</v>
      </c>
      <c r="G29" s="414" t="e">
        <f>+G25/6118965</f>
        <v>#REF!</v>
      </c>
      <c r="I29" s="261"/>
      <c r="J29" s="285"/>
      <c r="K29" s="318"/>
      <c r="L29" s="261"/>
      <c r="M29" s="285"/>
    </row>
    <row r="30" spans="2:13" s="82" customFormat="1" ht="21" customHeight="1" thickBot="1">
      <c r="B30" s="83" t="s">
        <v>131</v>
      </c>
      <c r="C30" s="84"/>
      <c r="D30" s="85" t="e">
        <f>+D29</f>
        <v>#REF!</v>
      </c>
      <c r="E30" s="85" t="e">
        <f t="shared" ref="E30:G30" si="8">+E29</f>
        <v>#REF!</v>
      </c>
      <c r="F30" s="409" t="e">
        <f t="shared" si="8"/>
        <v>#REF!</v>
      </c>
      <c r="G30" s="415" t="e">
        <f t="shared" si="8"/>
        <v>#REF!</v>
      </c>
      <c r="I30" s="286"/>
      <c r="J30" s="287"/>
      <c r="K30" s="318"/>
      <c r="L30" s="286"/>
      <c r="M30" s="287"/>
    </row>
    <row r="31" spans="2:13" ht="9" customHeight="1">
      <c r="B31" s="91"/>
      <c r="C31" s="91"/>
      <c r="D31" s="91"/>
      <c r="E31" s="91"/>
      <c r="F31" s="108"/>
      <c r="G31" s="108"/>
    </row>
  </sheetData>
  <mergeCells count="6">
    <mergeCell ref="B3:B4"/>
    <mergeCell ref="C3:C4"/>
    <mergeCell ref="I3:J3"/>
    <mergeCell ref="L3:M3"/>
    <mergeCell ref="I2:J2"/>
    <mergeCell ref="L2:M2"/>
  </mergeCells>
  <pageMargins left="0.48" right="0.70866141732283472" top="0.74803149606299213" bottom="0.74803149606299213" header="0.31496062992125984" footer="0.31496062992125984"/>
  <pageSetup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92D050"/>
    <pageSetUpPr fitToPage="1"/>
  </sheetPr>
  <dimension ref="B1:L73"/>
  <sheetViews>
    <sheetView showGridLines="0" topLeftCell="A61" zoomScale="90" zoomScaleNormal="90" workbookViewId="0">
      <selection activeCell="O14" sqref="O14"/>
    </sheetView>
  </sheetViews>
  <sheetFormatPr baseColWidth="10" defaultColWidth="11.42578125" defaultRowHeight="12.75"/>
  <cols>
    <col min="1" max="1" width="6.140625" style="90" customWidth="1"/>
    <col min="2" max="2" width="71.85546875" style="90" customWidth="1"/>
    <col min="3" max="3" width="5.5703125" style="90" customWidth="1"/>
    <col min="4" max="5" width="12.42578125" style="90" bestFit="1" customWidth="1"/>
    <col min="6" max="6" width="4.85546875" style="90" customWidth="1"/>
    <col min="7" max="7" width="12" style="277" bestFit="1" customWidth="1"/>
    <col min="8" max="8" width="11.42578125" style="279"/>
    <col min="9" max="9" width="11.42578125" style="90"/>
    <col min="10" max="10" width="13.5703125" style="90" customWidth="1"/>
    <col min="11" max="11" width="12.42578125" style="90" bestFit="1" customWidth="1"/>
    <col min="12" max="16384" width="11.42578125" style="90"/>
  </cols>
  <sheetData>
    <row r="1" spans="2:12" ht="13.5" thickBot="1"/>
    <row r="2" spans="2:12" s="91" customFormat="1" ht="12" customHeight="1">
      <c r="B2" s="473" t="s">
        <v>212</v>
      </c>
      <c r="C2" s="475" t="s">
        <v>105</v>
      </c>
      <c r="D2" s="253" t="e">
        <f>+ [14]Result!D3</f>
        <v>#REF!</v>
      </c>
      <c r="E2" s="254" t="e">
        <f>+ [14]Result!E3</f>
        <v>#REF!</v>
      </c>
      <c r="G2" s="470" t="s">
        <v>227</v>
      </c>
      <c r="H2" s="471"/>
    </row>
    <row r="3" spans="2:12" s="91" customFormat="1" ht="12" customHeight="1">
      <c r="B3" s="474"/>
      <c r="C3" s="476"/>
      <c r="D3" s="92" t="s">
        <v>8</v>
      </c>
      <c r="E3" s="93" t="s">
        <v>8</v>
      </c>
      <c r="G3" s="289" t="s">
        <v>8</v>
      </c>
      <c r="H3" s="290" t="s">
        <v>70</v>
      </c>
    </row>
    <row r="4" spans="2:12" s="96" customFormat="1" ht="21" customHeight="1">
      <c r="B4" s="86" t="s">
        <v>133</v>
      </c>
      <c r="C4" s="87"/>
      <c r="D4" s="298" t="e">
        <f>+VLOOKUP(B4,#REF! [13]Flow!$B:$E,3,0)</f>
        <v>#REF!</v>
      </c>
      <c r="E4" s="298" t="e">
        <f>+VLOOKUP(B4,#REF! [13]Flow!$B:$E,4,0)</f>
        <v>#REF!</v>
      </c>
      <c r="F4" s="95"/>
      <c r="G4" s="261" t="e">
        <f>ROUND(+(D4-E4),0)</f>
        <v>#REF!</v>
      </c>
      <c r="H4" s="291">
        <f>+IFERROR(G4/E4,1)</f>
        <v>1</v>
      </c>
      <c r="K4" s="255"/>
      <c r="L4" s="255"/>
    </row>
    <row r="5" spans="2:12" s="96" customFormat="1" ht="21" customHeight="1">
      <c r="B5" s="86" t="s">
        <v>135</v>
      </c>
      <c r="C5" s="87"/>
      <c r="D5" s="298" t="e">
        <f>+VLOOKUP(B5,#REF! [13]Flow!$B:$E,3,0)</f>
        <v>#REF!</v>
      </c>
      <c r="E5" s="298" t="e">
        <f>+VLOOKUP(B5,#REF! [13]Flow!$B:$E,4,0)</f>
        <v>#REF!</v>
      </c>
      <c r="F5" s="95"/>
      <c r="G5" s="261" t="e">
        <f t="shared" ref="G5:G62" si="0">ROUND(+(D5-E5),0)</f>
        <v>#REF!</v>
      </c>
      <c r="H5" s="291"/>
    </row>
    <row r="6" spans="2:12" s="96" customFormat="1" ht="21" customHeight="1">
      <c r="B6" s="86" t="s">
        <v>134</v>
      </c>
      <c r="C6" s="87"/>
      <c r="D6" s="298" t="e">
        <f>+VLOOKUP(B6,#REF! [13]Flow!$B:$E,3,0)</f>
        <v>#REF!</v>
      </c>
      <c r="E6" s="298" t="e">
        <f>+VLOOKUP(B6,#REF! [13]Flow!$B:$E,4,0)</f>
        <v>#REF!</v>
      </c>
      <c r="F6" s="95"/>
      <c r="G6" s="261" t="e">
        <f t="shared" si="0"/>
        <v>#REF!</v>
      </c>
      <c r="H6" s="291"/>
    </row>
    <row r="7" spans="2:12" s="96" customFormat="1" ht="21" customHeight="1">
      <c r="B7" s="86" t="s">
        <v>136</v>
      </c>
      <c r="C7" s="87"/>
      <c r="D7" s="298" t="e">
        <f>+VLOOKUP(B7,#REF! [13]Flow!$B:$E,3,0)</f>
        <v>#REF!</v>
      </c>
      <c r="E7" s="298" t="e">
        <f>+VLOOKUP(B7,#REF! [13]Flow!$B:$E,4,0)</f>
        <v>#REF!</v>
      </c>
      <c r="F7" s="95"/>
      <c r="G7" s="261" t="e">
        <f t="shared" si="0"/>
        <v>#REF!</v>
      </c>
      <c r="H7" s="291">
        <f t="shared" ref="H7:H64" si="1">+IFERROR(G7/E7,1)</f>
        <v>1</v>
      </c>
      <c r="K7" s="255"/>
      <c r="L7" s="255"/>
    </row>
    <row r="8" spans="2:12" s="96" customFormat="1" ht="21" customHeight="1">
      <c r="B8" s="86" t="s">
        <v>137</v>
      </c>
      <c r="C8" s="87"/>
      <c r="D8" s="298" t="e">
        <f>+VLOOKUP(B8,#REF! [13]Flow!$B:$E,3,0)</f>
        <v>#REF!</v>
      </c>
      <c r="E8" s="298" t="e">
        <f>+VLOOKUP(B8,#REF! [13]Flow!$B:$E,4,0)</f>
        <v>#REF!</v>
      </c>
      <c r="F8" s="95"/>
      <c r="G8" s="261" t="e">
        <f t="shared" si="0"/>
        <v>#REF!</v>
      </c>
      <c r="H8" s="291">
        <f t="shared" si="1"/>
        <v>1</v>
      </c>
      <c r="K8" s="255"/>
      <c r="L8" s="255"/>
    </row>
    <row r="9" spans="2:12" s="96" customFormat="1" ht="21" customHeight="1">
      <c r="B9" s="88" t="s">
        <v>132</v>
      </c>
      <c r="C9" s="87"/>
      <c r="D9" s="299" t="e">
        <f>SUM(D4:D8)</f>
        <v>#REF!</v>
      </c>
      <c r="E9" s="300" t="e">
        <f>SUM(E4:E8)</f>
        <v>#REF!</v>
      </c>
      <c r="F9" s="95"/>
      <c r="G9" s="262" t="e">
        <f t="shared" si="0"/>
        <v>#REF!</v>
      </c>
      <c r="H9" s="293">
        <f t="shared" si="1"/>
        <v>1</v>
      </c>
      <c r="K9" s="255"/>
      <c r="L9" s="255"/>
    </row>
    <row r="10" spans="2:12" s="96" customFormat="1" ht="21" customHeight="1">
      <c r="B10" s="86" t="s">
        <v>138</v>
      </c>
      <c r="C10" s="87"/>
      <c r="D10" s="298" t="e">
        <f>+VLOOKUP(B10,#REF! [13]Flow!$B:$E,3,0)</f>
        <v>#REF!</v>
      </c>
      <c r="E10" s="298" t="e">
        <f>+VLOOKUP(B10,#REF! [13]Flow!$B:$E,4,0)</f>
        <v>#REF!</v>
      </c>
      <c r="F10" s="95"/>
      <c r="G10" s="345" t="e">
        <f t="shared" si="0"/>
        <v>#REF!</v>
      </c>
      <c r="H10" s="291">
        <f t="shared" si="1"/>
        <v>1</v>
      </c>
      <c r="K10" s="255"/>
      <c r="L10" s="255"/>
    </row>
    <row r="11" spans="2:12" s="96" customFormat="1" ht="21" customHeight="1">
      <c r="B11" s="86" t="s">
        <v>139</v>
      </c>
      <c r="C11" s="87"/>
      <c r="D11" s="298" t="e">
        <f>+VLOOKUP(B11,#REF! [13]Flow!$B:$E,3,0)</f>
        <v>#REF!</v>
      </c>
      <c r="E11" s="298" t="e">
        <f>+VLOOKUP(B11,#REF! [13]Flow!$B:$E,4,0)</f>
        <v>#REF!</v>
      </c>
      <c r="F11" s="95"/>
      <c r="G11" s="261" t="e">
        <f t="shared" si="0"/>
        <v>#REF!</v>
      </c>
      <c r="H11" s="291">
        <f t="shared" si="1"/>
        <v>1</v>
      </c>
      <c r="K11" s="255"/>
      <c r="L11" s="255"/>
    </row>
    <row r="12" spans="2:12" s="96" customFormat="1" ht="21" customHeight="1">
      <c r="B12" s="86" t="s">
        <v>140</v>
      </c>
      <c r="C12" s="89"/>
      <c r="D12" s="298" t="e">
        <f>+VLOOKUP(B12,#REF! [13]Flow!$B:$E,3,0)</f>
        <v>#REF!</v>
      </c>
      <c r="E12" s="298" t="e">
        <f>+VLOOKUP(B12,#REF! [13]Flow!$B:$E,4,0)</f>
        <v>#REF!</v>
      </c>
      <c r="F12" s="95"/>
      <c r="G12" s="261" t="e">
        <f t="shared" si="0"/>
        <v>#REF!</v>
      </c>
      <c r="H12" s="291">
        <f t="shared" si="1"/>
        <v>1</v>
      </c>
      <c r="K12" s="255"/>
      <c r="L12" s="255"/>
    </row>
    <row r="13" spans="2:12" s="96" customFormat="1" ht="21" customHeight="1">
      <c r="B13" s="86" t="s">
        <v>141</v>
      </c>
      <c r="C13" s="87"/>
      <c r="D13" s="298" t="e">
        <f>+VLOOKUP(B13,#REF! [13]Flow!$B:$E,3,0)</f>
        <v>#REF!</v>
      </c>
      <c r="E13" s="298" t="e">
        <f>+VLOOKUP(B13,#REF! [13]Flow!$B:$E,4,0)</f>
        <v>#REF!</v>
      </c>
      <c r="F13" s="95"/>
      <c r="G13" s="345" t="e">
        <f>ROUND(+(D13-E13),0)</f>
        <v>#REF!</v>
      </c>
      <c r="H13" s="291">
        <f t="shared" si="1"/>
        <v>1</v>
      </c>
      <c r="K13" s="255"/>
      <c r="L13" s="255"/>
    </row>
    <row r="14" spans="2:12" s="96" customFormat="1" ht="21" customHeight="1">
      <c r="B14" s="86" t="s">
        <v>142</v>
      </c>
      <c r="C14" s="87"/>
      <c r="D14" s="298" t="e">
        <f>+VLOOKUP(B14,#REF! [13]Flow!$B:$E,3,0)</f>
        <v>#REF!</v>
      </c>
      <c r="E14" s="298" t="e">
        <f>+VLOOKUP(B14,#REF! [13]Flow!$B:$E,4,0)</f>
        <v>#REF!</v>
      </c>
      <c r="F14" s="95"/>
      <c r="G14" s="261" t="e">
        <f t="shared" si="0"/>
        <v>#REF!</v>
      </c>
      <c r="H14" s="291">
        <f t="shared" si="1"/>
        <v>1</v>
      </c>
      <c r="I14" s="96" t="s">
        <v>297</v>
      </c>
      <c r="K14" s="255"/>
      <c r="L14" s="255"/>
    </row>
    <row r="15" spans="2:12" s="96" customFormat="1" ht="21" customHeight="1">
      <c r="B15" s="88" t="s">
        <v>213</v>
      </c>
      <c r="C15" s="87"/>
      <c r="D15" s="299" t="e">
        <f>SUM(D10:D14)</f>
        <v>#REF!</v>
      </c>
      <c r="E15" s="300" t="e">
        <f>SUM(E10:E14)</f>
        <v>#REF!</v>
      </c>
      <c r="F15" s="95"/>
      <c r="G15" s="262" t="e">
        <f t="shared" si="0"/>
        <v>#REF!</v>
      </c>
      <c r="H15" s="293">
        <f t="shared" si="1"/>
        <v>1</v>
      </c>
      <c r="K15" s="255"/>
      <c r="L15" s="255"/>
    </row>
    <row r="16" spans="2:12" s="96" customFormat="1" ht="21" customHeight="1">
      <c r="B16" s="86" t="s">
        <v>333</v>
      </c>
      <c r="C16" s="87"/>
      <c r="D16" s="298" t="e">
        <f>+VLOOKUP(B16,#REF! [13]Flow!$B:$E,3,0)</f>
        <v>#REF!</v>
      </c>
      <c r="E16" s="298" t="e">
        <f>+VLOOKUP(B16,#REF! [13]Flow!$B:$E,4,0)</f>
        <v>#REF!</v>
      </c>
      <c r="F16" s="95"/>
      <c r="G16" s="261"/>
      <c r="H16" s="291">
        <f t="shared" si="1"/>
        <v>1</v>
      </c>
      <c r="K16" s="255"/>
      <c r="L16" s="255"/>
    </row>
    <row r="17" spans="2:12" s="96" customFormat="1" ht="21" customHeight="1">
      <c r="B17" s="86" t="s">
        <v>334</v>
      </c>
      <c r="C17" s="87"/>
      <c r="D17" s="298" t="e">
        <f>+VLOOKUP(B17,#REF! [13]Flow!$B:$E,3,0)</f>
        <v>#REF!</v>
      </c>
      <c r="E17" s="298" t="e">
        <f>+VLOOKUP(B17,#REF! [13]Flow!$B:$E,4,0)</f>
        <v>#REF!</v>
      </c>
      <c r="F17" s="95"/>
      <c r="G17" s="261"/>
      <c r="H17" s="291">
        <f t="shared" si="1"/>
        <v>1</v>
      </c>
      <c r="K17" s="255"/>
      <c r="L17" s="255"/>
    </row>
    <row r="18" spans="2:12" s="96" customFormat="1" ht="21" customHeight="1">
      <c r="B18" s="86" t="s">
        <v>335</v>
      </c>
      <c r="C18" s="87"/>
      <c r="D18" s="298" t="e">
        <f>+VLOOKUP(B18,#REF! [13]Flow!$B:$E,3,0)</f>
        <v>#REF!</v>
      </c>
      <c r="E18" s="298" t="e">
        <f>+VLOOKUP(B18,#REF! [13]Flow!$B:$E,4,0)</f>
        <v>#REF!</v>
      </c>
      <c r="F18" s="95"/>
      <c r="G18" s="345" t="e">
        <f t="shared" si="0"/>
        <v>#REF!</v>
      </c>
      <c r="H18" s="291">
        <f t="shared" si="1"/>
        <v>1</v>
      </c>
      <c r="K18" s="255"/>
      <c r="L18" s="255"/>
    </row>
    <row r="19" spans="2:12" s="96" customFormat="1" ht="21" customHeight="1">
      <c r="B19" s="86" t="s">
        <v>336</v>
      </c>
      <c r="C19" s="87"/>
      <c r="D19" s="298" t="e">
        <f>+VLOOKUP(B19,#REF! [13]Flow!$B:$E,3,0)</f>
        <v>#REF!</v>
      </c>
      <c r="E19" s="298" t="e">
        <f>+VLOOKUP(B19,#REF! [13]Flow!$B:$E,4,0)</f>
        <v>#REF!</v>
      </c>
      <c r="F19" s="95"/>
      <c r="G19" s="261" t="e">
        <f t="shared" si="0"/>
        <v>#REF!</v>
      </c>
      <c r="H19" s="291">
        <f t="shared" si="1"/>
        <v>1</v>
      </c>
      <c r="I19" s="96" t="s">
        <v>301</v>
      </c>
      <c r="K19" s="255"/>
      <c r="L19" s="255"/>
    </row>
    <row r="20" spans="2:12" s="96" customFormat="1" ht="21" customHeight="1">
      <c r="B20" s="86" t="s">
        <v>332</v>
      </c>
      <c r="C20" s="87"/>
      <c r="D20" s="298" t="e">
        <f>+VLOOKUP(B20,#REF! [13]Flow!$B:$E,3,0)</f>
        <v>#REF!</v>
      </c>
      <c r="E20" s="298" t="e">
        <f>+VLOOKUP(B20,#REF! [13]Flow!$B:$E,4,0)</f>
        <v>#REF!</v>
      </c>
      <c r="F20" s="95"/>
      <c r="G20" s="345" t="e">
        <f t="shared" si="0"/>
        <v>#REF!</v>
      </c>
      <c r="H20" s="291">
        <f t="shared" si="1"/>
        <v>1</v>
      </c>
      <c r="K20" s="255"/>
      <c r="L20" s="255"/>
    </row>
    <row r="21" spans="2:12" s="96" customFormat="1" ht="21" customHeight="1">
      <c r="B21" s="86" t="s">
        <v>337</v>
      </c>
      <c r="C21" s="87"/>
      <c r="D21" s="298" t="e">
        <f>+VLOOKUP(B21,#REF! [13]Flow!$B:$E,3,0)</f>
        <v>#REF!</v>
      </c>
      <c r="E21" s="298" t="e">
        <f>+VLOOKUP(B21,#REF! [13]Flow!$B:$E,4,0)</f>
        <v>#REF!</v>
      </c>
      <c r="F21" s="95"/>
      <c r="G21" s="261" t="e">
        <f t="shared" si="0"/>
        <v>#REF!</v>
      </c>
      <c r="H21" s="291">
        <f t="shared" si="1"/>
        <v>1</v>
      </c>
      <c r="K21" s="255"/>
      <c r="L21" s="255"/>
    </row>
    <row r="22" spans="2:12" s="96" customFormat="1" ht="21" customHeight="1" thickBot="1">
      <c r="B22" s="88" t="s">
        <v>286</v>
      </c>
      <c r="C22" s="87"/>
      <c r="D22" s="300" t="e">
        <f>SUM(D16:D21)</f>
        <v>#REF!</v>
      </c>
      <c r="E22" s="300" t="e">
        <f>SUM(E16:E21)</f>
        <v>#REF!</v>
      </c>
      <c r="F22" s="95"/>
      <c r="G22" s="262" t="e">
        <f t="shared" si="0"/>
        <v>#REF!</v>
      </c>
      <c r="H22" s="293">
        <f t="shared" si="1"/>
        <v>1</v>
      </c>
      <c r="K22" s="255"/>
      <c r="L22" s="255"/>
    </row>
    <row r="23" spans="2:12" s="96" customFormat="1" ht="21" customHeight="1" thickBot="1">
      <c r="B23" s="98" t="s">
        <v>287</v>
      </c>
      <c r="C23" s="99"/>
      <c r="D23" s="301" t="e">
        <f>+D9+D15+D22</f>
        <v>#REF!</v>
      </c>
      <c r="E23" s="301" t="e">
        <f>+E9+E15+E22</f>
        <v>#REF!</v>
      </c>
      <c r="F23" s="95"/>
      <c r="G23" s="283" t="e">
        <f>ROUND(+(D23-E23),0)</f>
        <v>#REF!</v>
      </c>
      <c r="H23" s="294">
        <f t="shared" si="1"/>
        <v>1</v>
      </c>
      <c r="K23" s="255"/>
      <c r="L23" s="255"/>
    </row>
    <row r="24" spans="2:12" s="96" customFormat="1" ht="21" customHeight="1">
      <c r="B24" s="97" t="s">
        <v>147</v>
      </c>
      <c r="C24" s="94"/>
      <c r="D24" s="298" t="e">
        <f>+VLOOKUP(B24,#REF! [13]Flow!$B:$E,3,0)</f>
        <v>#REF!</v>
      </c>
      <c r="E24" s="298" t="e">
        <f>+VLOOKUP(B24,#REF! [13]Flow!$B:$E,4,0)</f>
        <v>#REF!</v>
      </c>
      <c r="F24" s="95"/>
      <c r="G24" s="261" t="e">
        <f t="shared" si="0"/>
        <v>#REF!</v>
      </c>
      <c r="H24" s="291">
        <f t="shared" si="1"/>
        <v>1</v>
      </c>
      <c r="K24" s="255"/>
      <c r="L24" s="255"/>
    </row>
    <row r="25" spans="2:12" s="96" customFormat="1" ht="21" customHeight="1">
      <c r="B25" s="97" t="s">
        <v>148</v>
      </c>
      <c r="C25" s="94"/>
      <c r="D25" s="298" t="e">
        <f>+VLOOKUP(B25,#REF! [13]Flow!$B:$E,3,0)</f>
        <v>#REF!</v>
      </c>
      <c r="E25" s="298" t="e">
        <f>+VLOOKUP(B25,#REF! [13]Flow!$B:$E,4,0)</f>
        <v>#REF!</v>
      </c>
      <c r="F25" s="95"/>
      <c r="G25" s="261" t="e">
        <f t="shared" si="0"/>
        <v>#REF!</v>
      </c>
      <c r="H25" s="291">
        <f t="shared" si="1"/>
        <v>1</v>
      </c>
      <c r="K25" s="255"/>
      <c r="L25" s="255"/>
    </row>
    <row r="26" spans="2:12" s="96" customFormat="1" ht="21" customHeight="1">
      <c r="B26" s="97" t="s">
        <v>149</v>
      </c>
      <c r="C26" s="94"/>
      <c r="D26" s="298" t="e">
        <f>+VLOOKUP(B26,#REF! [13]Flow!$B:$E,3,0)</f>
        <v>#REF!</v>
      </c>
      <c r="E26" s="298" t="e">
        <f>+VLOOKUP(B26,#REF! [13]Flow!$B:$E,4,0)</f>
        <v>#REF!</v>
      </c>
      <c r="F26" s="95"/>
      <c r="G26" s="261" t="e">
        <f t="shared" si="0"/>
        <v>#REF!</v>
      </c>
      <c r="H26" s="291">
        <f t="shared" si="1"/>
        <v>1</v>
      </c>
      <c r="K26" s="255"/>
      <c r="L26" s="255"/>
    </row>
    <row r="27" spans="2:12" s="96" customFormat="1" ht="21" customHeight="1">
      <c r="B27" s="97" t="s">
        <v>150</v>
      </c>
      <c r="C27" s="94"/>
      <c r="D27" s="298" t="e">
        <f>+VLOOKUP(B27,#REF! [13]Flow!$B:$E,3,0)</f>
        <v>#REF!</v>
      </c>
      <c r="E27" s="298" t="e">
        <f>+VLOOKUP(B27,#REF! [13]Flow!$B:$E,4,0)</f>
        <v>#REF!</v>
      </c>
      <c r="F27" s="95"/>
      <c r="G27" s="261" t="e">
        <f t="shared" si="0"/>
        <v>#REF!</v>
      </c>
      <c r="H27" s="291">
        <f t="shared" si="1"/>
        <v>1</v>
      </c>
      <c r="K27" s="255"/>
      <c r="L27" s="255"/>
    </row>
    <row r="28" spans="2:12" s="96" customFormat="1" ht="21" customHeight="1">
      <c r="B28" s="97" t="s">
        <v>151</v>
      </c>
      <c r="C28" s="94"/>
      <c r="D28" s="298" t="e">
        <f>+VLOOKUP(B28,#REF! [13]Flow!$B:$E,3,0)</f>
        <v>#REF!</v>
      </c>
      <c r="E28" s="298" t="e">
        <f>+VLOOKUP(B28,#REF! [13]Flow!$B:$E,4,0)</f>
        <v>#REF!</v>
      </c>
      <c r="F28" s="95"/>
      <c r="G28" s="261" t="e">
        <f t="shared" si="0"/>
        <v>#REF!</v>
      </c>
      <c r="H28" s="291">
        <f t="shared" si="1"/>
        <v>1</v>
      </c>
      <c r="K28" s="255"/>
      <c r="L28" s="255"/>
    </row>
    <row r="29" spans="2:12" s="96" customFormat="1" ht="21" customHeight="1">
      <c r="B29" s="97" t="s">
        <v>152</v>
      </c>
      <c r="C29" s="94"/>
      <c r="D29" s="298" t="e">
        <f>+VLOOKUP(B29,#REF! [13]Flow!$B:$E,3,0)</f>
        <v>#REF!</v>
      </c>
      <c r="E29" s="298" t="e">
        <f>+VLOOKUP(B29,#REF! [13]Flow!$B:$E,4,0)</f>
        <v>#REF!</v>
      </c>
      <c r="F29" s="95"/>
      <c r="G29" s="261" t="e">
        <f t="shared" si="0"/>
        <v>#REF!</v>
      </c>
      <c r="H29" s="291">
        <f t="shared" si="1"/>
        <v>1</v>
      </c>
      <c r="K29" s="255"/>
      <c r="L29" s="255"/>
    </row>
    <row r="30" spans="2:12" s="96" customFormat="1" ht="21" customHeight="1">
      <c r="B30" s="97" t="s">
        <v>153</v>
      </c>
      <c r="C30" s="94"/>
      <c r="D30" s="298" t="e">
        <f>+VLOOKUP(B30,#REF! [13]Flow!$B:$E,3,0)</f>
        <v>#REF!</v>
      </c>
      <c r="E30" s="298" t="e">
        <f>+VLOOKUP(B30,#REF! [13]Flow!$B:$E,4,0)</f>
        <v>#REF!</v>
      </c>
      <c r="F30" s="95"/>
      <c r="G30" s="261" t="e">
        <f t="shared" si="0"/>
        <v>#REF!</v>
      </c>
      <c r="H30" s="291">
        <f t="shared" si="1"/>
        <v>1</v>
      </c>
      <c r="K30" s="255"/>
      <c r="L30" s="255"/>
    </row>
    <row r="31" spans="2:12" s="96" customFormat="1" ht="21" customHeight="1">
      <c r="B31" s="97" t="s">
        <v>154</v>
      </c>
      <c r="C31" s="94"/>
      <c r="D31" s="298" t="e">
        <f>+VLOOKUP(B31,#REF! [13]Flow!$B:$E,3,0)</f>
        <v>#REF!</v>
      </c>
      <c r="E31" s="298" t="e">
        <f>+VLOOKUP(B31,#REF! [13]Flow!$B:$E,4,0)</f>
        <v>#REF!</v>
      </c>
      <c r="F31" s="95"/>
      <c r="G31" s="261" t="e">
        <f t="shared" si="0"/>
        <v>#REF!</v>
      </c>
      <c r="H31" s="291">
        <f t="shared" si="1"/>
        <v>1</v>
      </c>
      <c r="K31" s="255"/>
      <c r="L31" s="255"/>
    </row>
    <row r="32" spans="2:12" s="96" customFormat="1" ht="21" customHeight="1">
      <c r="B32" s="97" t="s">
        <v>270</v>
      </c>
      <c r="C32" s="94"/>
      <c r="D32" s="298" t="e">
        <f>+VLOOKUP(B32,#REF! [13]Flow!$B:$E,3,0)</f>
        <v>#REF!</v>
      </c>
      <c r="E32" s="298" t="e">
        <f>+VLOOKUP(B32,#REF! [13]Flow!$B:$E,4,0)</f>
        <v>#REF!</v>
      </c>
      <c r="F32" s="95"/>
      <c r="G32" s="261" t="e">
        <f t="shared" si="0"/>
        <v>#REF!</v>
      </c>
      <c r="H32" s="291">
        <f t="shared" si="1"/>
        <v>1</v>
      </c>
      <c r="K32" s="255"/>
      <c r="L32" s="255"/>
    </row>
    <row r="33" spans="2:12" s="96" customFormat="1" ht="21" customHeight="1">
      <c r="B33" s="97" t="s">
        <v>155</v>
      </c>
      <c r="C33" s="94"/>
      <c r="D33" s="298" t="e">
        <f>+VLOOKUP(B33,#REF! [13]Flow!$B:$E,3,0)</f>
        <v>#REF!</v>
      </c>
      <c r="E33" s="298" t="e">
        <f>+VLOOKUP(B33,#REF! [13]Flow!$B:$E,4,0)</f>
        <v>#REF!</v>
      </c>
      <c r="F33" s="95"/>
      <c r="G33" s="261" t="e">
        <f t="shared" si="0"/>
        <v>#REF!</v>
      </c>
      <c r="H33" s="291">
        <f t="shared" si="1"/>
        <v>1</v>
      </c>
      <c r="K33" s="255"/>
      <c r="L33" s="255"/>
    </row>
    <row r="34" spans="2:12" s="96" customFormat="1" ht="21" customHeight="1">
      <c r="B34" s="97" t="s">
        <v>225</v>
      </c>
      <c r="C34" s="94"/>
      <c r="D34" s="298" t="e">
        <f>+VLOOKUP(B34,#REF! [13]Flow!$B:$E,3,0)</f>
        <v>#REF!</v>
      </c>
      <c r="E34" s="298" t="e">
        <f>+VLOOKUP(B34,#REF! [13]Flow!$B:$E,4,0)</f>
        <v>#REF!</v>
      </c>
      <c r="F34" s="95"/>
      <c r="G34" s="261" t="e">
        <f t="shared" si="0"/>
        <v>#REF!</v>
      </c>
      <c r="H34" s="291">
        <f t="shared" si="1"/>
        <v>1</v>
      </c>
      <c r="K34" s="255"/>
      <c r="L34" s="255"/>
    </row>
    <row r="35" spans="2:12" s="96" customFormat="1" ht="21" customHeight="1">
      <c r="B35" s="97" t="s">
        <v>156</v>
      </c>
      <c r="C35" s="94"/>
      <c r="D35" s="298" t="e">
        <f>+VLOOKUP(B35,#REF! [13]Flow!$B:$E,3,0)</f>
        <v>#REF!</v>
      </c>
      <c r="E35" s="298" t="e">
        <f>+VLOOKUP(B35,#REF! [13]Flow!$B:$E,4,0)</f>
        <v>#REF!</v>
      </c>
      <c r="F35" s="95"/>
      <c r="G35" s="261" t="e">
        <f t="shared" si="0"/>
        <v>#REF!</v>
      </c>
      <c r="H35" s="291">
        <f t="shared" si="1"/>
        <v>1</v>
      </c>
      <c r="K35" s="255"/>
      <c r="L35" s="255"/>
    </row>
    <row r="36" spans="2:12" s="96" customFormat="1" ht="21" customHeight="1">
      <c r="B36" s="97" t="s">
        <v>214</v>
      </c>
      <c r="C36" s="94"/>
      <c r="D36" s="298" t="e">
        <f>+VLOOKUP(B36,#REF! [13]Flow!$B:$E,3,0)</f>
        <v>#REF!</v>
      </c>
      <c r="E36" s="298" t="e">
        <f>+VLOOKUP(B36,#REF! [13]Flow!$B:$E,4,0)</f>
        <v>#REF!</v>
      </c>
      <c r="F36" s="95"/>
      <c r="G36" s="261" t="e">
        <f t="shared" si="0"/>
        <v>#REF!</v>
      </c>
      <c r="H36" s="291">
        <f t="shared" si="1"/>
        <v>1</v>
      </c>
      <c r="K36" s="255"/>
      <c r="L36" s="255"/>
    </row>
    <row r="37" spans="2:12" s="96" customFormat="1" ht="21" customHeight="1">
      <c r="B37" s="97" t="s">
        <v>157</v>
      </c>
      <c r="C37" s="94"/>
      <c r="D37" s="298" t="e">
        <f>+VLOOKUP(B37,#REF! [13]Flow!$B:$E,3,0)</f>
        <v>#REF!</v>
      </c>
      <c r="E37" s="298" t="e">
        <f>+VLOOKUP(B37,#REF! [13]Flow!$B:$E,4,0)</f>
        <v>#REF!</v>
      </c>
      <c r="F37" s="95"/>
      <c r="G37" s="261" t="e">
        <f t="shared" si="0"/>
        <v>#REF!</v>
      </c>
      <c r="H37" s="291">
        <f t="shared" si="1"/>
        <v>1</v>
      </c>
      <c r="K37" s="255"/>
      <c r="L37" s="255"/>
    </row>
    <row r="38" spans="2:12" s="96" customFormat="1" ht="21" customHeight="1">
      <c r="B38" s="97" t="s">
        <v>338</v>
      </c>
      <c r="C38" s="94"/>
      <c r="D38" s="298" t="e">
        <f>+VLOOKUP(B38,#REF! [13]Flow!$B:$E,3,0)</f>
        <v>#REF!</v>
      </c>
      <c r="E38" s="298" t="e">
        <f>+VLOOKUP(B38,#REF! [13]Flow!$B:$E,4,0)</f>
        <v>#REF!</v>
      </c>
      <c r="F38" s="95"/>
      <c r="G38" s="261" t="e">
        <f t="shared" si="0"/>
        <v>#REF!</v>
      </c>
      <c r="H38" s="291">
        <f t="shared" si="1"/>
        <v>1</v>
      </c>
      <c r="K38" s="255"/>
      <c r="L38" s="255"/>
    </row>
    <row r="39" spans="2:12" s="96" customFormat="1" ht="21" customHeight="1">
      <c r="B39" s="97" t="s">
        <v>159</v>
      </c>
      <c r="C39" s="94"/>
      <c r="D39" s="298" t="e">
        <f>+VLOOKUP(B39,#REF! [13]Flow!$B:$E,3,0)</f>
        <v>#REF!</v>
      </c>
      <c r="E39" s="298" t="e">
        <f>+VLOOKUP(B39,#REF! [13]Flow!$B:$E,4,0)</f>
        <v>#REF!</v>
      </c>
      <c r="F39" s="95"/>
      <c r="G39" s="261" t="e">
        <f t="shared" si="0"/>
        <v>#REF!</v>
      </c>
      <c r="H39" s="291">
        <f t="shared" si="1"/>
        <v>1</v>
      </c>
      <c r="K39" s="255"/>
      <c r="L39" s="255"/>
    </row>
    <row r="40" spans="2:12" s="96" customFormat="1" ht="21" customHeight="1">
      <c r="B40" s="97" t="s">
        <v>160</v>
      </c>
      <c r="C40" s="94"/>
      <c r="D40" s="298" t="e">
        <f>+VLOOKUP(B40,#REF! [13]Flow!$B:$E,3,0)</f>
        <v>#REF!</v>
      </c>
      <c r="E40" s="298" t="e">
        <f>+VLOOKUP(B40,#REF! [13]Flow!$B:$E,4,0)</f>
        <v>#REF!</v>
      </c>
      <c r="F40" s="95"/>
      <c r="G40" s="261" t="e">
        <f t="shared" si="0"/>
        <v>#REF!</v>
      </c>
      <c r="H40" s="291">
        <f t="shared" si="1"/>
        <v>1</v>
      </c>
      <c r="K40" s="255"/>
      <c r="L40" s="255"/>
    </row>
    <row r="41" spans="2:12" s="96" customFormat="1" ht="21" customHeight="1">
      <c r="B41" s="97" t="s">
        <v>161</v>
      </c>
      <c r="C41" s="94"/>
      <c r="D41" s="298" t="e">
        <f>+VLOOKUP(B41,#REF! [13]Flow!$B:$E,3,0)</f>
        <v>#REF!</v>
      </c>
      <c r="E41" s="298" t="e">
        <f>+VLOOKUP(B41,#REF! [13]Flow!$B:$E,4,0)</f>
        <v>#REF!</v>
      </c>
      <c r="F41" s="95"/>
      <c r="G41" s="261" t="e">
        <f t="shared" si="0"/>
        <v>#REF!</v>
      </c>
      <c r="H41" s="291">
        <f t="shared" si="1"/>
        <v>1</v>
      </c>
      <c r="K41" s="255"/>
      <c r="L41" s="255"/>
    </row>
    <row r="42" spans="2:12" s="96" customFormat="1" ht="21" customHeight="1">
      <c r="B42" s="97" t="s">
        <v>162</v>
      </c>
      <c r="C42" s="94"/>
      <c r="D42" s="298" t="e">
        <f>+VLOOKUP(B42,#REF! [13]Flow!$B:$E,3,0)</f>
        <v>#REF!</v>
      </c>
      <c r="E42" s="298" t="e">
        <f>+VLOOKUP(B42,#REF! [13]Flow!$B:$E,4,0)</f>
        <v>#REF!</v>
      </c>
      <c r="F42" s="95"/>
      <c r="G42" s="261" t="e">
        <f t="shared" si="0"/>
        <v>#REF!</v>
      </c>
      <c r="H42" s="291">
        <f t="shared" si="1"/>
        <v>1</v>
      </c>
      <c r="K42" s="255"/>
      <c r="L42" s="255"/>
    </row>
    <row r="43" spans="2:12" s="96" customFormat="1" ht="21" customHeight="1">
      <c r="B43" s="97" t="s">
        <v>215</v>
      </c>
      <c r="C43" s="94"/>
      <c r="D43" s="298" t="e">
        <f>+VLOOKUP(B43,#REF! [13]Flow!$B:$E,3,0)</f>
        <v>#REF!</v>
      </c>
      <c r="E43" s="298" t="e">
        <f>+VLOOKUP(B43,#REF! [13]Flow!$B:$E,4,0)</f>
        <v>#REF!</v>
      </c>
      <c r="F43" s="95"/>
      <c r="G43" s="261" t="e">
        <f t="shared" si="0"/>
        <v>#REF!</v>
      </c>
      <c r="H43" s="291">
        <f t="shared" si="1"/>
        <v>1</v>
      </c>
      <c r="K43" s="255"/>
      <c r="L43" s="255"/>
    </row>
    <row r="44" spans="2:12" s="96" customFormat="1" ht="21" customHeight="1">
      <c r="B44" s="97" t="s">
        <v>144</v>
      </c>
      <c r="C44" s="94"/>
      <c r="D44" s="298" t="e">
        <f>+VLOOKUP(B44,#REF! [13]Flow!$B:$E,3,0)</f>
        <v>#REF!</v>
      </c>
      <c r="E44" s="298" t="e">
        <f>+VLOOKUP(B44,#REF! [13]Flow!$B:$E,4,0)</f>
        <v>#REF!</v>
      </c>
      <c r="F44" s="95"/>
      <c r="G44" s="261" t="e">
        <f t="shared" si="0"/>
        <v>#REF!</v>
      </c>
      <c r="H44" s="291">
        <f t="shared" si="1"/>
        <v>1</v>
      </c>
      <c r="K44" s="255"/>
      <c r="L44" s="255"/>
    </row>
    <row r="45" spans="2:12" s="96" customFormat="1" ht="21" customHeight="1">
      <c r="B45" s="97" t="s">
        <v>146</v>
      </c>
      <c r="C45" s="94"/>
      <c r="D45" s="298" t="e">
        <f>+VLOOKUP(B45,#REF! [13]Flow!$B:$E,3,0)</f>
        <v>#REF!</v>
      </c>
      <c r="E45" s="298" t="e">
        <f>+VLOOKUP(B45,#REF! [13]Flow!$B:$E,4,0)</f>
        <v>#REF!</v>
      </c>
      <c r="F45" s="95"/>
      <c r="G45" s="261" t="e">
        <f t="shared" si="0"/>
        <v>#REF!</v>
      </c>
      <c r="H45" s="291">
        <f t="shared" si="1"/>
        <v>1</v>
      </c>
      <c r="K45" s="255"/>
      <c r="L45" s="255"/>
    </row>
    <row r="46" spans="2:12" s="96" customFormat="1" ht="21" customHeight="1">
      <c r="B46" s="97" t="s">
        <v>339</v>
      </c>
      <c r="C46" s="94"/>
      <c r="D46" s="298" t="e">
        <f>+VLOOKUP(B46,#REF! [13]Flow!$B:$E,3,0)</f>
        <v>#REF!</v>
      </c>
      <c r="E46" s="298" t="e">
        <f>+VLOOKUP(B46,#REF! [13]Flow!$B:$E,4,0)</f>
        <v>#REF!</v>
      </c>
      <c r="F46" s="95"/>
      <c r="G46" s="261" t="e">
        <f t="shared" si="0"/>
        <v>#REF!</v>
      </c>
      <c r="H46" s="291">
        <f t="shared" si="1"/>
        <v>1</v>
      </c>
      <c r="K46" s="255"/>
      <c r="L46" s="255"/>
    </row>
    <row r="47" spans="2:12" s="96" customFormat="1" ht="21" customHeight="1" thickBot="1">
      <c r="B47" s="97" t="s">
        <v>340</v>
      </c>
      <c r="C47" s="94"/>
      <c r="D47" s="298" t="e">
        <f>+VLOOKUP(B47,#REF! [13]Flow!$B:$E,3,0)</f>
        <v>#REF!</v>
      </c>
      <c r="E47" s="298" t="e">
        <f>+VLOOKUP(B47,#REF! [13]Flow!$B:$E,4,0)</f>
        <v>#REF!</v>
      </c>
      <c r="F47" s="95"/>
      <c r="G47" s="261" t="e">
        <f t="shared" si="0"/>
        <v>#REF!</v>
      </c>
      <c r="H47" s="291">
        <f t="shared" si="1"/>
        <v>1</v>
      </c>
      <c r="K47" s="255"/>
      <c r="L47" s="255"/>
    </row>
    <row r="48" spans="2:12" s="96" customFormat="1" ht="21" customHeight="1" thickBot="1">
      <c r="B48" s="98" t="s">
        <v>216</v>
      </c>
      <c r="C48" s="99"/>
      <c r="D48" s="301" t="e">
        <f>SUM(D24:D47)</f>
        <v>#REF!</v>
      </c>
      <c r="E48" s="301" t="e">
        <f>SUM(E24:E47)</f>
        <v>#REF!</v>
      </c>
      <c r="F48" s="95"/>
      <c r="G48" s="283" t="e">
        <f t="shared" si="0"/>
        <v>#REF!</v>
      </c>
      <c r="H48" s="294">
        <f t="shared" si="1"/>
        <v>1</v>
      </c>
      <c r="I48" s="341" t="e">
        <f>+D48-E48</f>
        <v>#REF!</v>
      </c>
      <c r="J48" s="96">
        <v>39575081</v>
      </c>
      <c r="K48" s="255"/>
      <c r="L48" s="255"/>
    </row>
    <row r="49" spans="2:12" s="96" customFormat="1" ht="21" customHeight="1">
      <c r="B49" s="97" t="s">
        <v>165</v>
      </c>
      <c r="C49" s="94"/>
      <c r="D49" s="298" t="e">
        <f>+VLOOKUP(B49,#REF! [13]Flow!$B:$E,3,0)</f>
        <v>#REF!</v>
      </c>
      <c r="E49" s="298" t="e">
        <f>+VLOOKUP(B49,#REF! [13]Flow!$B:$E,4,0)</f>
        <v>#REF!</v>
      </c>
      <c r="F49" s="95"/>
      <c r="G49" s="261" t="e">
        <f t="shared" si="0"/>
        <v>#REF!</v>
      </c>
      <c r="H49" s="291">
        <f t="shared" si="1"/>
        <v>1</v>
      </c>
      <c r="K49" s="255"/>
      <c r="L49" s="255"/>
    </row>
    <row r="50" spans="2:12" s="96" customFormat="1" ht="21" customHeight="1">
      <c r="B50" s="97" t="s">
        <v>166</v>
      </c>
      <c r="C50" s="94"/>
      <c r="D50" s="298" t="e">
        <f>+VLOOKUP(B50,#REF! [13]Flow!$B:$E,3,0)</f>
        <v>#REF!</v>
      </c>
      <c r="E50" s="298" t="e">
        <f>+VLOOKUP(B50,#REF! [13]Flow!$B:$E,4,0)</f>
        <v>#REF!</v>
      </c>
      <c r="F50" s="95"/>
      <c r="G50" s="261" t="e">
        <f t="shared" si="0"/>
        <v>#REF!</v>
      </c>
      <c r="H50" s="291">
        <f t="shared" si="1"/>
        <v>1</v>
      </c>
      <c r="K50" s="255"/>
      <c r="L50" s="255"/>
    </row>
    <row r="51" spans="2:12" s="96" customFormat="1" ht="21" customHeight="1">
      <c r="B51" s="97" t="s">
        <v>167</v>
      </c>
      <c r="C51" s="94"/>
      <c r="D51" s="298" t="e">
        <f>+VLOOKUP(B51,#REF! [13]Flow!$B:$E,3,0)</f>
        <v>#REF!</v>
      </c>
      <c r="E51" s="298" t="e">
        <f>+VLOOKUP(B51,#REF! [13]Flow!$B:$E,4,0)</f>
        <v>#REF!</v>
      </c>
      <c r="F51" s="95"/>
      <c r="G51" s="261" t="e">
        <f t="shared" si="0"/>
        <v>#REF!</v>
      </c>
      <c r="H51" s="291">
        <f t="shared" si="1"/>
        <v>1</v>
      </c>
      <c r="K51" s="255"/>
      <c r="L51" s="255"/>
    </row>
    <row r="52" spans="2:12" s="96" customFormat="1" ht="21" customHeight="1">
      <c r="B52" s="97" t="s">
        <v>168</v>
      </c>
      <c r="C52" s="94"/>
      <c r="D52" s="298" t="e">
        <f>+VLOOKUP(B52,#REF! [13]Flow!$B:$E,3,0)</f>
        <v>#REF!</v>
      </c>
      <c r="E52" s="298" t="e">
        <f>+VLOOKUP(B52,#REF! [13]Flow!$B:$E,4,0)</f>
        <v>#REF!</v>
      </c>
      <c r="F52" s="95"/>
      <c r="G52" s="261" t="e">
        <f t="shared" si="0"/>
        <v>#REF!</v>
      </c>
      <c r="H52" s="291">
        <f t="shared" si="1"/>
        <v>1</v>
      </c>
      <c r="K52" s="255"/>
      <c r="L52" s="255"/>
    </row>
    <row r="53" spans="2:12" s="96" customFormat="1" ht="21" customHeight="1">
      <c r="B53" s="97" t="s">
        <v>169</v>
      </c>
      <c r="C53" s="94"/>
      <c r="D53" s="298" t="e">
        <f>+VLOOKUP(B53,#REF! [13]Flow!$B:$E,3,0)</f>
        <v>#REF!</v>
      </c>
      <c r="E53" s="298" t="e">
        <f>+VLOOKUP(B53,#REF! [13]Flow!$B:$E,4,0)</f>
        <v>#REF!</v>
      </c>
      <c r="F53" s="95"/>
      <c r="G53" s="261" t="e">
        <f t="shared" si="0"/>
        <v>#REF!</v>
      </c>
      <c r="H53" s="291">
        <f t="shared" si="1"/>
        <v>1</v>
      </c>
      <c r="J53" s="96">
        <v>39602985</v>
      </c>
      <c r="K53" s="255" t="s">
        <v>298</v>
      </c>
      <c r="L53" s="255"/>
    </row>
    <row r="54" spans="2:12" s="96" customFormat="1" ht="21" customHeight="1">
      <c r="B54" s="97" t="s">
        <v>170</v>
      </c>
      <c r="C54" s="94"/>
      <c r="D54" s="298" t="e">
        <f>+VLOOKUP(B54,#REF! [13]Flow!$B:$E,3,0)</f>
        <v>#REF!</v>
      </c>
      <c r="E54" s="298" t="e">
        <f>+VLOOKUP(B54,#REF! [13]Flow!$B:$E,4,0)</f>
        <v>#REF!</v>
      </c>
      <c r="F54" s="95"/>
      <c r="G54" s="261" t="e">
        <f t="shared" si="0"/>
        <v>#REF!</v>
      </c>
      <c r="H54" s="291">
        <f t="shared" si="1"/>
        <v>1</v>
      </c>
      <c r="J54" s="96">
        <f>+J48-J53</f>
        <v>-27904</v>
      </c>
      <c r="K54" s="255"/>
      <c r="L54" s="255"/>
    </row>
    <row r="55" spans="2:12" s="96" customFormat="1" ht="21" customHeight="1">
      <c r="B55" s="252" t="s">
        <v>288</v>
      </c>
      <c r="C55" s="94"/>
      <c r="D55" s="299" t="e">
        <f>+SUM(D49:D54)</f>
        <v>#REF!</v>
      </c>
      <c r="E55" s="299" t="e">
        <f>+SUM(E49:E54)</f>
        <v>#REF!</v>
      </c>
      <c r="F55" s="95"/>
      <c r="G55" s="262" t="e">
        <f t="shared" si="0"/>
        <v>#REF!</v>
      </c>
      <c r="H55" s="295">
        <f t="shared" si="1"/>
        <v>1</v>
      </c>
      <c r="J55" s="339">
        <v>3182087735</v>
      </c>
      <c r="K55" s="340"/>
      <c r="L55" s="255"/>
    </row>
    <row r="56" spans="2:12" s="96" customFormat="1" ht="21" customHeight="1">
      <c r="B56" s="97" t="s">
        <v>171</v>
      </c>
      <c r="C56" s="94"/>
      <c r="D56" s="298" t="e">
        <f>+VLOOKUP(B56,#REF! [13]Flow!$B:$E,3,0)</f>
        <v>#REF!</v>
      </c>
      <c r="E56" s="298" t="e">
        <f>+VLOOKUP(B56,#REF! [13]Flow!$B:$E,4,0)</f>
        <v>#REF!</v>
      </c>
      <c r="F56" s="95"/>
      <c r="G56" s="261" t="e">
        <f t="shared" si="0"/>
        <v>#REF!</v>
      </c>
      <c r="H56" s="291">
        <f t="shared" si="1"/>
        <v>1</v>
      </c>
      <c r="J56" s="339"/>
      <c r="K56" s="340"/>
      <c r="L56" s="255"/>
    </row>
    <row r="57" spans="2:12" s="96" customFormat="1" ht="21" customHeight="1">
      <c r="B57" s="97" t="s">
        <v>217</v>
      </c>
      <c r="C57" s="94"/>
      <c r="D57" s="298" t="e">
        <f>+VLOOKUP(B57,#REF! [13]Flow!$B:$E,3,0)</f>
        <v>#REF!</v>
      </c>
      <c r="E57" s="298" t="e">
        <f>+VLOOKUP(B57,#REF! [13]Flow!$B:$E,4,0)</f>
        <v>#REF!</v>
      </c>
      <c r="F57" s="95"/>
      <c r="G57" s="261" t="e">
        <f t="shared" si="0"/>
        <v>#REF!</v>
      </c>
      <c r="H57" s="292">
        <f t="shared" si="1"/>
        <v>1</v>
      </c>
      <c r="J57" s="339">
        <v>5298882643</v>
      </c>
      <c r="K57" s="340" t="s">
        <v>299</v>
      </c>
      <c r="L57" s="255"/>
    </row>
    <row r="58" spans="2:12" s="96" customFormat="1" ht="21" customHeight="1">
      <c r="B58" s="97" t="s">
        <v>172</v>
      </c>
      <c r="C58" s="94"/>
      <c r="D58" s="298" t="e">
        <f>+VLOOKUP(B58,#REF! [13]Flow!$B:$E,3,0)</f>
        <v>#REF!</v>
      </c>
      <c r="E58" s="298" t="e">
        <f>+VLOOKUP(B58,#REF! [13]Flow!$B:$E,4,0)</f>
        <v>#REF!</v>
      </c>
      <c r="F58" s="95"/>
      <c r="G58" s="261" t="e">
        <f t="shared" si="0"/>
        <v>#REF!</v>
      </c>
      <c r="H58" s="292">
        <f t="shared" si="1"/>
        <v>1</v>
      </c>
      <c r="K58" s="255"/>
      <c r="L58" s="255"/>
    </row>
    <row r="59" spans="2:12" s="96" customFormat="1" ht="21" customHeight="1">
      <c r="B59" s="97" t="s">
        <v>173</v>
      </c>
      <c r="C59" s="94"/>
      <c r="D59" s="298" t="e">
        <f>+VLOOKUP(B59,#REF! [13]Flow!$B:$E,3,0)</f>
        <v>#REF!</v>
      </c>
      <c r="E59" s="298" t="e">
        <f>+VLOOKUP(B59,#REF! [13]Flow!$B:$E,4,0)</f>
        <v>#REF!</v>
      </c>
      <c r="F59" s="95"/>
      <c r="G59" s="261" t="e">
        <f t="shared" si="0"/>
        <v>#REF!</v>
      </c>
      <c r="H59" s="292">
        <f t="shared" si="1"/>
        <v>1</v>
      </c>
      <c r="K59" s="255"/>
      <c r="L59" s="255"/>
    </row>
    <row r="60" spans="2:12" s="96" customFormat="1" ht="21" customHeight="1">
      <c r="B60" s="97" t="s">
        <v>158</v>
      </c>
      <c r="C60" s="94"/>
      <c r="D60" s="298" t="e">
        <f>+VLOOKUP(B60,#REF! [13]Flow!$B:$E,3,0)</f>
        <v>#REF!</v>
      </c>
      <c r="E60" s="298" t="e">
        <f>+VLOOKUP(B60,#REF! [13]Flow!$B:$E,4,0)</f>
        <v>#REF!</v>
      </c>
      <c r="F60" s="95"/>
      <c r="G60" s="261" t="e">
        <f t="shared" si="0"/>
        <v>#REF!</v>
      </c>
      <c r="H60" s="292">
        <f t="shared" si="1"/>
        <v>1</v>
      </c>
      <c r="K60" s="255"/>
      <c r="L60" s="255"/>
    </row>
    <row r="61" spans="2:12" s="96" customFormat="1" ht="21" customHeight="1">
      <c r="B61" s="258" t="s">
        <v>143</v>
      </c>
      <c r="C61" s="94"/>
      <c r="D61" s="298" t="e">
        <f>+VLOOKUP(B61,#REF! [13]Flow!$B:$E,3,0)</f>
        <v>#REF!</v>
      </c>
      <c r="E61" s="298" t="e">
        <f>+VLOOKUP(B61,#REF! [13]Flow!$B:$E,4,0)</f>
        <v>#REF!</v>
      </c>
      <c r="F61" s="95"/>
      <c r="G61" s="261" t="e">
        <f t="shared" si="0"/>
        <v>#REF!</v>
      </c>
      <c r="H61" s="292">
        <f t="shared" si="1"/>
        <v>1</v>
      </c>
      <c r="J61" s="96">
        <v>9827327500</v>
      </c>
      <c r="K61" s="340" t="s">
        <v>300</v>
      </c>
      <c r="L61" s="255"/>
    </row>
    <row r="62" spans="2:12" s="96" customFormat="1" ht="21" customHeight="1">
      <c r="B62" s="97" t="s">
        <v>145</v>
      </c>
      <c r="C62" s="94"/>
      <c r="D62" s="298" t="e">
        <f>+VLOOKUP(B62,#REF! [13]Flow!$B:$E,3,0)</f>
        <v>#REF!</v>
      </c>
      <c r="E62" s="298" t="e">
        <f>+VLOOKUP(B62,#REF! [13]Flow!$B:$E,4,0)</f>
        <v>#REF!</v>
      </c>
      <c r="F62" s="95"/>
      <c r="G62" s="261" t="e">
        <f t="shared" si="0"/>
        <v>#REF!</v>
      </c>
      <c r="H62" s="291">
        <f t="shared" si="1"/>
        <v>1</v>
      </c>
      <c r="K62" s="255"/>
      <c r="L62" s="255"/>
    </row>
    <row r="63" spans="2:12" s="96" customFormat="1" ht="21" customHeight="1">
      <c r="B63" s="97" t="s">
        <v>163</v>
      </c>
      <c r="C63" s="94"/>
      <c r="D63" s="298" t="e">
        <f>+VLOOKUP(B63,#REF! [13]Flow!$B:$E,3,0)</f>
        <v>#REF!</v>
      </c>
      <c r="E63" s="298" t="e">
        <f>+VLOOKUP(B63,#REF! [13]Flow!$B:$E,4,0)</f>
        <v>#REF!</v>
      </c>
      <c r="F63" s="95"/>
      <c r="G63" s="261" t="e">
        <f t="shared" ref="G63:G71" si="2">ROUND(+(D63-E63),0)</f>
        <v>#REF!</v>
      </c>
      <c r="H63" s="291">
        <f t="shared" si="1"/>
        <v>1</v>
      </c>
      <c r="K63" s="255"/>
      <c r="L63" s="255"/>
    </row>
    <row r="64" spans="2:12" s="96" customFormat="1" ht="21" customHeight="1" thickBot="1">
      <c r="B64" s="97" t="s">
        <v>164</v>
      </c>
      <c r="C64" s="94"/>
      <c r="D64" s="298" t="e">
        <f>+VLOOKUP(B64,#REF! [13]Flow!$B:$E,3,0)</f>
        <v>#REF!</v>
      </c>
      <c r="E64" s="298" t="e">
        <f>+VLOOKUP(B64,#REF! [13]Flow!$B:$E,4,0)</f>
        <v>#REF!</v>
      </c>
      <c r="F64" s="95"/>
      <c r="G64" s="261" t="e">
        <f t="shared" si="2"/>
        <v>#REF!</v>
      </c>
      <c r="H64" s="291">
        <f t="shared" si="1"/>
        <v>1</v>
      </c>
      <c r="J64" s="339">
        <v>3887567500</v>
      </c>
      <c r="K64" s="340">
        <v>3634842500</v>
      </c>
    </row>
    <row r="65" spans="2:12" s="96" customFormat="1" ht="21" customHeight="1" thickBot="1">
      <c r="B65" s="98" t="s">
        <v>289</v>
      </c>
      <c r="C65" s="100"/>
      <c r="D65" s="301" t="e">
        <f>+SUM(D55:D64)</f>
        <v>#REF!</v>
      </c>
      <c r="E65" s="301" t="e">
        <f>+SUM(E55:E64)</f>
        <v>#REF!</v>
      </c>
      <c r="F65" s="95"/>
      <c r="G65" s="283" t="e">
        <f t="shared" si="2"/>
        <v>#REF!</v>
      </c>
      <c r="H65" s="294">
        <f t="shared" ref="H65:H71" si="3">+IFERROR(G65/E65,1)</f>
        <v>1</v>
      </c>
      <c r="J65" s="339">
        <v>5939600000</v>
      </c>
      <c r="K65" s="340"/>
      <c r="L65" s="255"/>
    </row>
    <row r="66" spans="2:12" s="96" customFormat="1" ht="21" customHeight="1">
      <c r="B66" s="98" t="s">
        <v>290</v>
      </c>
      <c r="C66" s="100"/>
      <c r="D66" s="302" t="e">
        <f>+D65+D48+D23</f>
        <v>#REF!</v>
      </c>
      <c r="E66" s="302" t="e">
        <f>+E65+E48+E23</f>
        <v>#REF!</v>
      </c>
      <c r="F66" s="95"/>
      <c r="G66" s="261" t="e">
        <f t="shared" si="2"/>
        <v>#REF!</v>
      </c>
      <c r="H66" s="291">
        <f t="shared" si="3"/>
        <v>1</v>
      </c>
      <c r="K66" s="255"/>
      <c r="L66" s="255"/>
    </row>
    <row r="67" spans="2:12" s="96" customFormat="1" ht="21" customHeight="1">
      <c r="B67" s="101" t="s">
        <v>341</v>
      </c>
      <c r="C67" s="99"/>
      <c r="D67" s="303"/>
      <c r="E67" s="298"/>
      <c r="F67" s="95"/>
      <c r="G67" s="261">
        <f t="shared" si="2"/>
        <v>0</v>
      </c>
      <c r="H67" s="291">
        <f t="shared" si="3"/>
        <v>1</v>
      </c>
      <c r="K67" s="255"/>
      <c r="L67" s="255"/>
    </row>
    <row r="68" spans="2:12" s="96" customFormat="1" ht="21" customHeight="1" thickBot="1">
      <c r="B68" s="102" t="s">
        <v>174</v>
      </c>
      <c r="C68" s="99"/>
      <c r="D68" s="298" t="e">
        <f>+VLOOKUP(B68,#REF! [13]Flow!$B:$E,3,0)</f>
        <v>#REF!</v>
      </c>
      <c r="E68" s="298" t="e">
        <f>+VLOOKUP(B68,#REF! [13]Flow!$B:$E,4,0)</f>
        <v>#REF!</v>
      </c>
      <c r="F68" s="95"/>
      <c r="G68" s="261" t="e">
        <f t="shared" si="2"/>
        <v>#REF!</v>
      </c>
      <c r="H68" s="291">
        <f t="shared" si="3"/>
        <v>1</v>
      </c>
      <c r="K68" s="255"/>
      <c r="L68" s="255"/>
    </row>
    <row r="69" spans="2:12" s="96" customFormat="1" ht="21" customHeight="1" thickBot="1">
      <c r="B69" s="98" t="s">
        <v>218</v>
      </c>
      <c r="C69" s="100"/>
      <c r="D69" s="298" t="e">
        <f>+VLOOKUP(B69,#REF! [13]Flow!$B:$E,3,0)</f>
        <v>#REF!</v>
      </c>
      <c r="E69" s="298" t="e">
        <f>+VLOOKUP(B69,#REF! [13]Flow!$B:$E,4,0)</f>
        <v>#REF!</v>
      </c>
      <c r="F69" s="95"/>
      <c r="G69" s="283" t="e">
        <f t="shared" si="2"/>
        <v>#REF!</v>
      </c>
      <c r="H69" s="294">
        <f t="shared" si="3"/>
        <v>1</v>
      </c>
      <c r="K69" s="255">
        <f>+J64+J65-K64</f>
        <v>6192325000</v>
      </c>
      <c r="L69" s="255"/>
    </row>
    <row r="70" spans="2:12" s="96" customFormat="1" ht="21" customHeight="1" thickBot="1">
      <c r="B70" s="97" t="s">
        <v>219</v>
      </c>
      <c r="C70" s="94"/>
      <c r="D70" s="298" t="e">
        <f>+VLOOKUP(B70,#REF! [13]Flow!$B:$E,3,0)</f>
        <v>#REF!</v>
      </c>
      <c r="E70" s="298" t="e">
        <f>+VLOOKUP(B70,#REF! [13]Flow!$B:$E,4,0)</f>
        <v>#REF!</v>
      </c>
      <c r="F70" s="103"/>
      <c r="G70" s="261" t="e">
        <f t="shared" si="2"/>
        <v>#REF!</v>
      </c>
      <c r="H70" s="291">
        <f t="shared" si="3"/>
        <v>1</v>
      </c>
      <c r="J70" s="96">
        <f>+J65+J64-J61</f>
        <v>-160000</v>
      </c>
      <c r="K70" s="255"/>
      <c r="L70" s="255"/>
    </row>
    <row r="71" spans="2:12" s="96" customFormat="1" ht="21" customHeight="1" thickBot="1">
      <c r="B71" s="104" t="s">
        <v>220</v>
      </c>
      <c r="C71" s="105">
        <v>7</v>
      </c>
      <c r="D71" s="298" t="e">
        <f>+VLOOKUP(B71,#REF! [13]Flow!$B:$E,3,0)</f>
        <v>#REF!</v>
      </c>
      <c r="E71" s="298" t="e">
        <f>+VLOOKUP(B71,#REF! [13]Flow!$B:$E,4,0)</f>
        <v>#REF!</v>
      </c>
      <c r="G71" s="283" t="e">
        <f t="shared" si="2"/>
        <v>#REF!</v>
      </c>
      <c r="H71" s="294">
        <f t="shared" si="3"/>
        <v>1</v>
      </c>
      <c r="K71" s="255"/>
      <c r="L71" s="255"/>
    </row>
    <row r="72" spans="2:12">
      <c r="D72" s="277"/>
      <c r="E72" s="439">
        <v>146120233</v>
      </c>
    </row>
    <row r="73" spans="2:12">
      <c r="D73" s="304" t="e">
        <f>+D71- [10]Balance!D6</f>
        <v>#REF!</v>
      </c>
      <c r="E73" s="304" t="e">
        <f>+E71-E72</f>
        <v>#REF!</v>
      </c>
    </row>
  </sheetData>
  <autoFilter ref="B2:E71"/>
  <mergeCells count="3">
    <mergeCell ref="B2:B3"/>
    <mergeCell ref="C2:C3"/>
    <mergeCell ref="G2:H2"/>
  </mergeCells>
  <conditionalFormatting sqref="B1:B1048576">
    <cfRule type="duplicateValues" dxfId="0" priority="1"/>
  </conditionalFormatting>
  <pageMargins left="0.23622047244094491" right="0.27559055118110237" top="0.98425196850393704" bottom="0.98425196850393704" header="0" footer="0"/>
  <pageSetup scale="4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</sheetPr>
  <dimension ref="B2:I26"/>
  <sheetViews>
    <sheetView showGridLines="0" workbookViewId="0">
      <selection activeCell="O14" sqref="O14"/>
    </sheetView>
  </sheetViews>
  <sheetFormatPr baseColWidth="10" defaultColWidth="11.42578125" defaultRowHeight="12"/>
  <cols>
    <col min="1" max="1" width="11.42578125" style="116"/>
    <col min="2" max="2" width="45.5703125" style="116" bestFit="1" customWidth="1"/>
    <col min="3" max="3" width="14.42578125" style="331" bestFit="1" customWidth="1"/>
    <col min="4" max="4" width="14.42578125" style="116" bestFit="1" customWidth="1"/>
    <col min="5" max="5" width="13.42578125" style="116" bestFit="1" customWidth="1"/>
    <col min="6" max="6" width="13.85546875" style="116" bestFit="1" customWidth="1"/>
    <col min="7" max="16384" width="11.42578125" style="116"/>
  </cols>
  <sheetData>
    <row r="2" spans="2:9">
      <c r="B2" s="115" t="s">
        <v>102</v>
      </c>
      <c r="C2" s="328" t="s">
        <v>8</v>
      </c>
      <c r="F2" s="329"/>
      <c r="G2" s="330"/>
      <c r="H2" s="330"/>
      <c r="I2" s="329"/>
    </row>
    <row r="3" spans="2:9">
      <c r="B3" s="116" t="s">
        <v>354</v>
      </c>
      <c r="C3" s="331" t="e">
        <f>+ [11]Calculations!E69</f>
        <v>#REF!</v>
      </c>
      <c r="F3" s="329"/>
      <c r="G3" s="329"/>
      <c r="H3" s="329"/>
      <c r="I3" s="329"/>
    </row>
    <row r="4" spans="2:9">
      <c r="B4" s="116" t="s">
        <v>370</v>
      </c>
      <c r="C4" s="331" t="e">
        <f>- [11]Calculations!D69</f>
        <v>#REF!</v>
      </c>
    </row>
    <row r="5" spans="2:9">
      <c r="B5" s="141" t="s">
        <v>371</v>
      </c>
      <c r="C5" s="332" t="e">
        <f>+ [11]Calculations!C69</f>
        <v>#REF!</v>
      </c>
      <c r="G5" s="312"/>
      <c r="H5" s="312"/>
      <c r="I5" s="313"/>
    </row>
    <row r="6" spans="2:9">
      <c r="B6" s="115" t="s">
        <v>355</v>
      </c>
      <c r="C6" s="333" t="e">
        <f>SUM(C3:C5)</f>
        <v>#REF!</v>
      </c>
      <c r="G6" s="312"/>
      <c r="H6" s="312"/>
    </row>
    <row r="8" spans="2:9">
      <c r="B8" s="334" t="s">
        <v>103</v>
      </c>
    </row>
    <row r="9" spans="2:9">
      <c r="B9" s="115" t="s">
        <v>21</v>
      </c>
      <c r="C9" s="328" t="s">
        <v>8</v>
      </c>
    </row>
    <row r="10" spans="2:9">
      <c r="B10" s="116" t="str">
        <f>+B3</f>
        <v>Exercise 2023</v>
      </c>
      <c r="C10" s="331" t="e">
        <f>+ [11]Calculations!F20- [11]Calculations!F21</f>
        <v>#REF!</v>
      </c>
    </row>
    <row r="11" spans="2:9">
      <c r="B11" s="116" t="str">
        <f>+B4</f>
        <v>Sep 2023 cumulative</v>
      </c>
      <c r="C11" s="331" t="e">
        <f>-( [11]Calculations!E20- [11]Calculations!E21)</f>
        <v>#REF!</v>
      </c>
    </row>
    <row r="12" spans="2:9">
      <c r="B12" s="141" t="str">
        <f>+B5</f>
        <v>Sep 2024 cumulative</v>
      </c>
      <c r="C12" s="332" t="e">
        <f>+ [11]Calculations!D20- [11]Calculations!D21</f>
        <v>#REF!</v>
      </c>
    </row>
    <row r="13" spans="2:9">
      <c r="B13" s="115" t="str">
        <f>+B6</f>
        <v>Period June 2024 - June 2023</v>
      </c>
      <c r="C13" s="333" t="e">
        <f>SUM(C10:C12)</f>
        <v>#REF!</v>
      </c>
    </row>
    <row r="16" spans="2:9">
      <c r="B16" s="115" t="s">
        <v>23</v>
      </c>
      <c r="C16" s="328" t="s">
        <v>8</v>
      </c>
    </row>
    <row r="17" spans="2:5">
      <c r="B17" s="116" t="str">
        <f>+B3</f>
        <v>Exercise 2023</v>
      </c>
      <c r="C17" s="331" t="e">
        <f>- [11]Calculations!F21</f>
        <v>#REF!</v>
      </c>
    </row>
    <row r="18" spans="2:5">
      <c r="B18" s="116" t="str">
        <f>+B4</f>
        <v>Sep 2023 cumulative</v>
      </c>
      <c r="C18" s="331" t="e">
        <f>+ [11]Calculations!E21</f>
        <v>#REF!</v>
      </c>
    </row>
    <row r="19" spans="2:5">
      <c r="B19" s="141" t="str">
        <f>+B5</f>
        <v>Sep 2024 cumulative</v>
      </c>
      <c r="C19" s="332" t="e">
        <f>- [11]Calculations!D21</f>
        <v>#REF!</v>
      </c>
    </row>
    <row r="20" spans="2:5">
      <c r="B20" s="115" t="str">
        <f>+B13</f>
        <v>Period June 2024 - June 2023</v>
      </c>
      <c r="C20" s="333" t="e">
        <f>SUM(C17:C19)</f>
        <v>#REF!</v>
      </c>
    </row>
    <row r="24" spans="2:5">
      <c r="C24" s="335"/>
      <c r="D24" s="336"/>
      <c r="E24" s="337"/>
    </row>
    <row r="25" spans="2:5">
      <c r="C25" s="338"/>
      <c r="D25" s="338"/>
      <c r="E25" s="338"/>
    </row>
    <row r="26" spans="2:5">
      <c r="C26" s="338"/>
      <c r="D26" s="338"/>
      <c r="E26" s="338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92D050"/>
  </sheetPr>
  <dimension ref="B2"/>
  <sheetViews>
    <sheetView showGridLines="0" zoomScale="70" zoomScaleNormal="70" workbookViewId="0">
      <selection activeCell="O14" sqref="O14"/>
    </sheetView>
  </sheetViews>
  <sheetFormatPr baseColWidth="10" defaultRowHeight="12.75"/>
  <sheetData>
    <row r="2" spans="2:2">
      <c r="B2" s="247" t="s">
        <v>265</v>
      </c>
    </row>
  </sheetData>
  <hyperlinks>
    <hyperlink ref="B2" r:id="rId1" location="/cierre_bursatil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  <pageSetUpPr fitToPage="1"/>
  </sheetPr>
  <dimension ref="A1:M52"/>
  <sheetViews>
    <sheetView showGridLines="0" tabSelected="1" workbookViewId="0">
      <selection activeCell="C16" sqref="C16"/>
    </sheetView>
  </sheetViews>
  <sheetFormatPr baseColWidth="10" defaultColWidth="0" defaultRowHeight="15" customHeight="1" zeroHeight="1"/>
  <cols>
    <col min="1" max="1" width="4" style="7" customWidth="1"/>
    <col min="2" max="2" width="44.85546875" style="7" bestFit="1" customWidth="1"/>
    <col min="3" max="4" width="12.5703125" style="7" customWidth="1"/>
    <col min="5" max="5" width="15.5703125" style="7" customWidth="1"/>
    <col min="6" max="6" width="13.42578125" style="7" bestFit="1" customWidth="1"/>
    <col min="7" max="8" width="11.42578125" style="7" customWidth="1"/>
    <col min="9" max="11" width="11.42578125" style="7" hidden="1" customWidth="1"/>
    <col min="12" max="13" width="0" style="7" hidden="1" customWidth="1"/>
    <col min="14" max="16384" width="11.42578125" style="7" hidden="1"/>
  </cols>
  <sheetData>
    <row r="1" spans="1:6" ht="15" customHeight="1">
      <c r="A1" s="13" t="s">
        <v>199</v>
      </c>
    </row>
    <row r="2" spans="1:6" ht="15" customHeight="1"/>
    <row r="3" spans="1:6" ht="15" customHeight="1" thickBot="1">
      <c r="B3" s="2" t="s">
        <v>398</v>
      </c>
      <c r="C3" s="307" t="s">
        <v>361</v>
      </c>
      <c r="D3" s="307" t="s">
        <v>362</v>
      </c>
      <c r="E3" s="248" t="s">
        <v>259</v>
      </c>
      <c r="F3" s="306" t="s">
        <v>347</v>
      </c>
    </row>
    <row r="4" spans="1:6" ht="15" customHeight="1">
      <c r="B4" s="3" t="s">
        <v>387</v>
      </c>
      <c r="C4" s="308">
        <v>483042204</v>
      </c>
      <c r="D4" s="308">
        <v>475235519</v>
      </c>
      <c r="E4" s="9">
        <v>1.6E-2</v>
      </c>
      <c r="F4" s="8">
        <v>7806685</v>
      </c>
    </row>
    <row r="5" spans="1:6" s="14" customFormat="1" ht="15" customHeight="1">
      <c r="B5" s="4" t="s">
        <v>251</v>
      </c>
      <c r="C5" s="308">
        <v>-248008011</v>
      </c>
      <c r="D5" s="308">
        <v>-244040078</v>
      </c>
      <c r="E5" s="9">
        <v>1.6E-2</v>
      </c>
      <c r="F5" s="8">
        <v>-3967933</v>
      </c>
    </row>
    <row r="6" spans="1:6" s="14" customFormat="1" ht="15" customHeight="1">
      <c r="B6" s="5" t="s">
        <v>185</v>
      </c>
      <c r="C6" s="309">
        <v>235034193</v>
      </c>
      <c r="D6" s="309">
        <v>231195441</v>
      </c>
      <c r="E6" s="11">
        <v>1.7000000000000001E-2</v>
      </c>
      <c r="F6" s="10">
        <v>3838752</v>
      </c>
    </row>
    <row r="7" spans="1:6" s="14" customFormat="1" ht="15" customHeight="1">
      <c r="B7" s="4" t="s">
        <v>62</v>
      </c>
      <c r="C7" s="308">
        <v>-60798649</v>
      </c>
      <c r="D7" s="308">
        <v>-56569056</v>
      </c>
      <c r="E7" s="9">
        <v>7.4999999999999997E-2</v>
      </c>
      <c r="F7" s="8">
        <v>-4229593</v>
      </c>
    </row>
    <row r="8" spans="1:6" s="14" customFormat="1" ht="15" customHeight="1">
      <c r="B8" s="5" t="s">
        <v>252</v>
      </c>
      <c r="C8" s="309">
        <v>174235544</v>
      </c>
      <c r="D8" s="309">
        <v>174626385</v>
      </c>
      <c r="E8" s="11">
        <v>-2E-3</v>
      </c>
      <c r="F8" s="10">
        <v>-390841</v>
      </c>
    </row>
    <row r="9" spans="1:6" s="14" customFormat="1" ht="15" customHeight="1">
      <c r="B9" s="4" t="s">
        <v>388</v>
      </c>
      <c r="C9" s="308">
        <v>2237093</v>
      </c>
      <c r="D9" s="308">
        <v>-1774124</v>
      </c>
      <c r="E9" s="9">
        <v>-2.2610000000000001</v>
      </c>
      <c r="F9" s="8">
        <v>4011217</v>
      </c>
    </row>
    <row r="10" spans="1:6" s="14" customFormat="1" ht="15" customHeight="1">
      <c r="B10" s="4" t="s">
        <v>296</v>
      </c>
      <c r="C10" s="308">
        <v>0</v>
      </c>
      <c r="D10" s="308">
        <v>0</v>
      </c>
      <c r="E10" s="320">
        <v>0</v>
      </c>
      <c r="F10" s="8">
        <v>0</v>
      </c>
    </row>
    <row r="11" spans="1:6" s="14" customFormat="1" ht="15" customHeight="1">
      <c r="B11" s="4" t="s">
        <v>399</v>
      </c>
      <c r="C11" s="308">
        <v>-60740153</v>
      </c>
      <c r="D11" s="308">
        <v>-51153149</v>
      </c>
      <c r="E11" s="9">
        <v>0.187</v>
      </c>
      <c r="F11" s="8">
        <v>-9587004</v>
      </c>
    </row>
    <row r="12" spans="1:6" s="14" customFormat="1" ht="15" customHeight="1">
      <c r="B12" s="4" t="s">
        <v>221</v>
      </c>
      <c r="C12" s="308">
        <v>-24328925</v>
      </c>
      <c r="D12" s="308">
        <v>-25215487</v>
      </c>
      <c r="E12" s="9">
        <v>-3.5000000000000003E-2</v>
      </c>
      <c r="F12" s="8">
        <v>886562</v>
      </c>
    </row>
    <row r="13" spans="1:6" s="14" customFormat="1" ht="15" customHeight="1">
      <c r="B13" s="4" t="s">
        <v>345</v>
      </c>
      <c r="C13" s="308">
        <v>-1443</v>
      </c>
      <c r="D13" s="308">
        <v>-1249</v>
      </c>
      <c r="E13" s="9">
        <v>0.155</v>
      </c>
      <c r="F13" s="8">
        <v>-194</v>
      </c>
    </row>
    <row r="14" spans="1:6" s="14" customFormat="1" ht="15" customHeight="1">
      <c r="B14" s="5" t="s">
        <v>389</v>
      </c>
      <c r="C14" s="309">
        <v>91402116</v>
      </c>
      <c r="D14" s="442">
        <v>96482376</v>
      </c>
      <c r="E14" s="11">
        <v>-5.2999999999999999E-2</v>
      </c>
      <c r="F14" s="10">
        <v>-5080260</v>
      </c>
    </row>
    <row r="15" spans="1:6" s="14" customFormat="1" ht="15" customHeight="1">
      <c r="C15" s="383">
        <v>0</v>
      </c>
      <c r="D15" s="383">
        <v>0</v>
      </c>
    </row>
    <row r="16" spans="1:6" ht="15" customHeight="1">
      <c r="C16" s="321">
        <v>0</v>
      </c>
      <c r="D16" s="321">
        <v>0</v>
      </c>
    </row>
    <row r="17" spans="1:10" s="356" customFormat="1" ht="15" customHeight="1">
      <c r="A17" s="13" t="s">
        <v>200</v>
      </c>
      <c r="B17" s="15"/>
      <c r="C17" s="16"/>
      <c r="D17" s="16"/>
      <c r="E17" s="384"/>
      <c r="F17" s="385"/>
      <c r="G17" s="16"/>
    </row>
    <row r="18" spans="1:10" s="356" customFormat="1" ht="15" customHeight="1" thickBot="1">
      <c r="B18" s="7"/>
      <c r="C18" s="455" t="s">
        <v>361</v>
      </c>
      <c r="D18" s="455"/>
      <c r="E18" s="7"/>
      <c r="F18" s="456" t="s">
        <v>362</v>
      </c>
      <c r="G18" s="456"/>
    </row>
    <row r="19" spans="1:10" s="356" customFormat="1" ht="15" customHeight="1">
      <c r="B19" s="7"/>
      <c r="C19" s="386" t="s">
        <v>189</v>
      </c>
      <c r="D19" s="457" t="s">
        <v>190</v>
      </c>
      <c r="E19" s="7"/>
      <c r="F19" s="17" t="s">
        <v>189</v>
      </c>
      <c r="G19" s="459" t="s">
        <v>190</v>
      </c>
    </row>
    <row r="20" spans="1:10" s="356" customFormat="1" ht="15" customHeight="1" thickBot="1">
      <c r="B20" s="7"/>
      <c r="C20" s="307" t="s">
        <v>275</v>
      </c>
      <c r="D20" s="458"/>
      <c r="E20" s="7"/>
      <c r="F20" s="6" t="s">
        <v>8</v>
      </c>
      <c r="G20" s="460"/>
    </row>
    <row r="21" spans="1:10" s="356" customFormat="1" ht="15" customHeight="1">
      <c r="B21" s="4" t="s">
        <v>390</v>
      </c>
      <c r="C21" s="18">
        <v>196502255</v>
      </c>
      <c r="D21" s="387">
        <v>0.40699999999999997</v>
      </c>
      <c r="E21" s="7"/>
      <c r="F21" s="18">
        <v>192112033</v>
      </c>
      <c r="G21" s="387">
        <v>0.40400000000000003</v>
      </c>
      <c r="J21" s="357"/>
    </row>
    <row r="22" spans="1:10" s="356" customFormat="1" ht="15" customHeight="1">
      <c r="B22" s="4" t="s">
        <v>248</v>
      </c>
      <c r="C22" s="18">
        <v>217408241</v>
      </c>
      <c r="D22" s="387">
        <v>0.45</v>
      </c>
      <c r="E22" s="7"/>
      <c r="F22" s="18">
        <v>213447688</v>
      </c>
      <c r="G22" s="387">
        <v>0.44900000000000001</v>
      </c>
      <c r="J22" s="357"/>
    </row>
    <row r="23" spans="1:10" s="356" customFormat="1" ht="15" customHeight="1">
      <c r="B23" s="4" t="s">
        <v>249</v>
      </c>
      <c r="C23" s="18">
        <v>19550385</v>
      </c>
      <c r="D23" s="9">
        <v>0.04</v>
      </c>
      <c r="E23" s="7"/>
      <c r="F23" s="18">
        <v>18536115</v>
      </c>
      <c r="G23" s="387">
        <v>3.9E-2</v>
      </c>
      <c r="J23" s="357"/>
    </row>
    <row r="24" spans="1:10" s="356" customFormat="1" ht="15" customHeight="1" thickBot="1">
      <c r="B24" s="15" t="s">
        <v>250</v>
      </c>
      <c r="C24" s="388">
        <v>49581323</v>
      </c>
      <c r="D24" s="389">
        <v>0.10299999999999999</v>
      </c>
      <c r="E24" s="7"/>
      <c r="F24" s="388">
        <v>51139683</v>
      </c>
      <c r="G24" s="389">
        <v>0.108</v>
      </c>
      <c r="J24" s="357"/>
    </row>
    <row r="25" spans="1:10" s="356" customFormat="1" ht="15" customHeight="1" thickTop="1">
      <c r="B25" s="5" t="s">
        <v>191</v>
      </c>
      <c r="C25" s="26">
        <v>483042204</v>
      </c>
      <c r="D25" s="390">
        <v>1</v>
      </c>
      <c r="E25" s="7"/>
      <c r="F25" s="26">
        <v>475235519</v>
      </c>
      <c r="G25" s="390">
        <v>1</v>
      </c>
      <c r="I25" s="359"/>
      <c r="J25" s="357"/>
    </row>
    <row r="26" spans="1:10" s="356" customFormat="1" ht="15" customHeight="1">
      <c r="B26" s="14"/>
      <c r="C26" s="391">
        <v>0</v>
      </c>
      <c r="D26" s="391"/>
      <c r="E26" s="392"/>
      <c r="F26" s="391">
        <v>0</v>
      </c>
      <c r="G26" s="14"/>
    </row>
    <row r="27" spans="1:10" s="356" customFormat="1" ht="15" customHeight="1" thickBot="1">
      <c r="B27" s="394" t="s">
        <v>254</v>
      </c>
      <c r="C27" s="354" t="s">
        <v>361</v>
      </c>
      <c r="D27" s="354" t="s">
        <v>362</v>
      </c>
      <c r="E27" s="354" t="s">
        <v>178</v>
      </c>
      <c r="F27" s="355"/>
      <c r="G27" s="354" t="s">
        <v>192</v>
      </c>
    </row>
    <row r="28" spans="1:10" s="356" customFormat="1" ht="15" customHeight="1">
      <c r="B28" s="395" t="s">
        <v>391</v>
      </c>
      <c r="C28" s="18">
        <v>390430</v>
      </c>
      <c r="D28" s="18">
        <v>389807</v>
      </c>
      <c r="E28" s="9">
        <v>2E-3</v>
      </c>
      <c r="F28" s="7"/>
      <c r="G28" s="8">
        <v>623</v>
      </c>
    </row>
    <row r="29" spans="1:10" s="356" customFormat="1" ht="15" customHeight="1">
      <c r="B29" s="395" t="s">
        <v>253</v>
      </c>
      <c r="C29" s="18">
        <v>374766</v>
      </c>
      <c r="D29" s="18">
        <v>374096</v>
      </c>
      <c r="E29" s="9">
        <v>2E-3</v>
      </c>
      <c r="F29" s="7"/>
      <c r="G29" s="8">
        <v>670</v>
      </c>
    </row>
    <row r="30" spans="1:10" s="356" customFormat="1" ht="15" customHeight="1">
      <c r="B30" s="395" t="s">
        <v>385</v>
      </c>
      <c r="C30" s="18">
        <v>322868</v>
      </c>
      <c r="D30" s="18">
        <v>322265</v>
      </c>
      <c r="E30" s="9">
        <v>2E-3</v>
      </c>
      <c r="F30" s="7"/>
      <c r="G30" s="8">
        <v>603</v>
      </c>
    </row>
    <row r="31" spans="1:10" s="355" customFormat="1" ht="15" customHeight="1">
      <c r="B31" s="395" t="s">
        <v>222</v>
      </c>
      <c r="C31" s="18">
        <v>90384</v>
      </c>
      <c r="D31" s="18">
        <v>90522</v>
      </c>
      <c r="E31" s="9">
        <v>-2E-3</v>
      </c>
      <c r="F31" s="20"/>
      <c r="G31" s="8">
        <v>-138</v>
      </c>
    </row>
    <row r="32" spans="1:10" s="355" customFormat="1" ht="15" customHeight="1">
      <c r="C32" s="444"/>
      <c r="D32" s="444"/>
      <c r="E32" s="7"/>
      <c r="F32" s="7"/>
      <c r="G32" s="7"/>
    </row>
    <row r="33" spans="2:8" s="355" customFormat="1" ht="15" customHeight="1" thickBot="1">
      <c r="B33" s="353" t="s">
        <v>193</v>
      </c>
      <c r="C33" s="6" t="s">
        <v>361</v>
      </c>
      <c r="D33" s="6" t="s">
        <v>362</v>
      </c>
      <c r="E33" s="6" t="s">
        <v>178</v>
      </c>
      <c r="F33" s="7"/>
      <c r="G33" s="6" t="s">
        <v>192</v>
      </c>
    </row>
    <row r="34" spans="2:8" s="355" customFormat="1" ht="15" customHeight="1">
      <c r="B34" s="395" t="s">
        <v>391</v>
      </c>
      <c r="C34" s="18">
        <v>2339334</v>
      </c>
      <c r="D34" s="18">
        <v>2296728</v>
      </c>
      <c r="E34" s="9">
        <v>1.9E-2</v>
      </c>
      <c r="F34" s="7"/>
      <c r="G34" s="8">
        <v>42606</v>
      </c>
    </row>
    <row r="35" spans="2:8" s="355" customFormat="1" ht="15" customHeight="1">
      <c r="B35" s="395" t="s">
        <v>253</v>
      </c>
      <c r="C35" s="18">
        <v>2294619</v>
      </c>
      <c r="D35" s="18">
        <v>2251965</v>
      </c>
      <c r="E35" s="9">
        <v>1.9E-2</v>
      </c>
      <c r="F35" s="7"/>
      <c r="G35" s="8">
        <v>42654</v>
      </c>
    </row>
    <row r="36" spans="2:8" s="355" customFormat="1" ht="15" customHeight="1">
      <c r="C36" s="7"/>
      <c r="D36" s="7"/>
      <c r="E36" s="7"/>
      <c r="F36" s="7"/>
      <c r="G36" s="7"/>
    </row>
    <row r="37" spans="2:8" s="355" customFormat="1" ht="15" customHeight="1">
      <c r="B37" s="396" t="s">
        <v>392</v>
      </c>
      <c r="C37" s="7"/>
      <c r="D37" s="7"/>
      <c r="E37" s="7"/>
      <c r="F37" s="7"/>
      <c r="G37" s="7"/>
    </row>
    <row r="38" spans="2:8" s="355" customFormat="1" ht="15" customHeight="1">
      <c r="B38" s="396"/>
      <c r="C38" s="7"/>
      <c r="D38" s="7"/>
      <c r="E38" s="7"/>
      <c r="F38" s="7"/>
      <c r="G38" s="7"/>
    </row>
    <row r="39" spans="2:8" s="355" customFormat="1" ht="13.5" thickBot="1">
      <c r="B39" s="353" t="s">
        <v>230</v>
      </c>
      <c r="C39" s="6" t="s">
        <v>361</v>
      </c>
      <c r="D39" s="6" t="s">
        <v>362</v>
      </c>
      <c r="E39" s="6" t="s">
        <v>178</v>
      </c>
      <c r="F39" s="7"/>
      <c r="G39" s="7"/>
    </row>
    <row r="40" spans="2:8" s="355" customFormat="1" ht="12.75">
      <c r="B40" s="397" t="s">
        <v>393</v>
      </c>
      <c r="C40" s="18">
        <v>16665609</v>
      </c>
      <c r="D40" s="18">
        <v>16391156</v>
      </c>
      <c r="E40" s="9">
        <v>1.6999999999999904E-2</v>
      </c>
      <c r="F40" s="7"/>
      <c r="G40" s="7"/>
      <c r="H40" s="358"/>
    </row>
    <row r="41" spans="2:8" s="355" customFormat="1" ht="12.75">
      <c r="B41" s="397" t="s">
        <v>396</v>
      </c>
      <c r="C41" s="18">
        <v>7767924</v>
      </c>
      <c r="D41" s="18">
        <v>6853188</v>
      </c>
      <c r="E41" s="9">
        <v>0.13300000000000001</v>
      </c>
      <c r="F41" s="7"/>
      <c r="G41" s="7"/>
      <c r="H41" s="358"/>
    </row>
    <row r="42" spans="2:8" s="355" customFormat="1" ht="12.75">
      <c r="B42" s="397" t="s">
        <v>394</v>
      </c>
      <c r="C42" s="18">
        <v>2618985</v>
      </c>
      <c r="D42" s="18">
        <v>2600114</v>
      </c>
      <c r="E42" s="9">
        <v>6.9999999999998952E-3</v>
      </c>
      <c r="F42" s="7"/>
      <c r="G42" s="7"/>
      <c r="H42" s="358"/>
    </row>
    <row r="43" spans="2:8" s="355" customFormat="1" ht="12.75">
      <c r="B43" s="397" t="s">
        <v>360</v>
      </c>
      <c r="C43" s="18">
        <v>2552799</v>
      </c>
      <c r="D43" s="18">
        <v>1780509</v>
      </c>
      <c r="E43" s="9">
        <v>0.43399999999999994</v>
      </c>
      <c r="F43" s="7"/>
      <c r="G43" s="7"/>
      <c r="H43" s="358"/>
    </row>
    <row r="44" spans="2:8" s="355" customFormat="1" ht="12.75">
      <c r="B44" s="398" t="s">
        <v>395</v>
      </c>
      <c r="C44" s="26">
        <v>29605317</v>
      </c>
      <c r="D44" s="26">
        <v>27624967</v>
      </c>
      <c r="E44" s="11">
        <v>7.2000000000000064E-2</v>
      </c>
      <c r="F44" s="7"/>
      <c r="G44" s="7"/>
      <c r="H44" s="358"/>
    </row>
    <row r="45" spans="2:8" s="355" customFormat="1" ht="15" customHeight="1">
      <c r="C45" s="399"/>
      <c r="D45" s="399"/>
    </row>
    <row r="46" spans="2:8" s="355" customFormat="1" ht="15" hidden="1" customHeight="1">
      <c r="C46" s="400"/>
      <c r="D46" s="400"/>
      <c r="G46" s="400"/>
    </row>
    <row r="47" spans="2:8" s="355" customFormat="1" ht="15" hidden="1" customHeight="1"/>
    <row r="50" spans="2:3" ht="15" hidden="1" customHeight="1">
      <c r="B50" s="4"/>
      <c r="C50" s="22"/>
    </row>
    <row r="51" spans="2:3" ht="15" hidden="1" customHeight="1">
      <c r="B51" s="4"/>
      <c r="C51" s="22"/>
    </row>
    <row r="52" spans="2:3" ht="15" hidden="1" customHeight="1">
      <c r="B52" s="4"/>
      <c r="C52" s="22"/>
    </row>
  </sheetData>
  <mergeCells count="4">
    <mergeCell ref="C18:D18"/>
    <mergeCell ref="F18:G18"/>
    <mergeCell ref="D19:D20"/>
    <mergeCell ref="G19:G20"/>
  </mergeCells>
  <pageMargins left="0.74803149606299213" right="0.74803149606299213" top="0.98425196850393704" bottom="0.98425196850393704" header="0" footer="0"/>
  <pageSetup scale="4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A1:M31"/>
  <sheetViews>
    <sheetView showGridLines="0" topLeftCell="A6" workbookViewId="0">
      <selection activeCell="G25" sqref="G25"/>
    </sheetView>
  </sheetViews>
  <sheetFormatPr baseColWidth="10" defaultColWidth="0" defaultRowHeight="12.75" zeroHeight="1"/>
  <cols>
    <col min="1" max="1" width="11.42578125" style="7" customWidth="1"/>
    <col min="2" max="2" width="25.42578125" style="7" bestFit="1" customWidth="1"/>
    <col min="3" max="4" width="12" style="7" bestFit="1" customWidth="1"/>
    <col min="5" max="8" width="11.42578125" style="7" customWidth="1"/>
    <col min="9" max="9" width="11.42578125" style="7" hidden="1" customWidth="1"/>
    <col min="10" max="10" width="68.42578125" style="7" hidden="1" customWidth="1"/>
    <col min="11" max="11" width="12.42578125" style="7" hidden="1" customWidth="1"/>
    <col min="12" max="13" width="0" style="7" hidden="1" customWidth="1"/>
    <col min="14" max="16384" width="11.42578125" style="7" hidden="1"/>
  </cols>
  <sheetData>
    <row r="1" spans="2:13">
      <c r="B1" s="12" t="s">
        <v>244</v>
      </c>
    </row>
    <row r="2" spans="2:13"/>
    <row r="3" spans="2:13" ht="13.5" thickBot="1">
      <c r="B3" s="47" t="s">
        <v>398</v>
      </c>
      <c r="C3" s="6" t="s">
        <v>361</v>
      </c>
      <c r="D3" s="6" t="s">
        <v>362</v>
      </c>
      <c r="E3" s="6" t="s">
        <v>178</v>
      </c>
      <c r="G3" s="6" t="s">
        <v>347</v>
      </c>
    </row>
    <row r="4" spans="2:13">
      <c r="B4" s="23" t="s">
        <v>397</v>
      </c>
      <c r="C4" s="8">
        <v>453022525</v>
      </c>
      <c r="D4" s="8">
        <v>447420641</v>
      </c>
      <c r="E4" s="9">
        <v>1.2999999999999999E-2</v>
      </c>
      <c r="G4" s="8">
        <v>5601884</v>
      </c>
      <c r="J4" s="24"/>
      <c r="K4" s="25"/>
      <c r="L4" s="25"/>
      <c r="M4" s="25"/>
    </row>
    <row r="5" spans="2:13">
      <c r="B5" s="23" t="s">
        <v>255</v>
      </c>
      <c r="C5" s="8">
        <v>1135131</v>
      </c>
      <c r="D5" s="8">
        <v>1149724</v>
      </c>
      <c r="E5" s="9">
        <v>-1.2999999999999999E-2</v>
      </c>
      <c r="F5" s="20"/>
      <c r="G5" s="8">
        <v>-14593</v>
      </c>
      <c r="J5" s="24"/>
      <c r="K5" s="25"/>
      <c r="L5" s="25"/>
      <c r="M5" s="25"/>
    </row>
    <row r="6" spans="2:13">
      <c r="B6" s="23" t="s">
        <v>251</v>
      </c>
      <c r="C6" s="8">
        <v>-226507623</v>
      </c>
      <c r="D6" s="8">
        <v>-221401332</v>
      </c>
      <c r="E6" s="9">
        <v>2.3E-2</v>
      </c>
      <c r="G6" s="8">
        <v>-5106291</v>
      </c>
      <c r="J6" s="24"/>
      <c r="K6" s="25"/>
      <c r="L6" s="25"/>
      <c r="M6" s="25"/>
    </row>
    <row r="7" spans="2:13" s="12" customFormat="1">
      <c r="B7" s="48" t="s">
        <v>185</v>
      </c>
      <c r="C7" s="309">
        <v>227650033</v>
      </c>
      <c r="D7" s="309">
        <v>227169033</v>
      </c>
      <c r="E7" s="11">
        <v>2E-3</v>
      </c>
      <c r="G7" s="10">
        <v>481000</v>
      </c>
      <c r="J7" s="27"/>
      <c r="K7" s="28"/>
      <c r="L7" s="28"/>
      <c r="M7" s="28"/>
    </row>
    <row r="8" spans="2:13">
      <c r="B8" s="23" t="s">
        <v>62</v>
      </c>
      <c r="C8" s="8">
        <v>-58984360</v>
      </c>
      <c r="D8" s="8">
        <v>-54836791</v>
      </c>
      <c r="E8" s="9">
        <v>7.5999999999999998E-2</v>
      </c>
      <c r="G8" s="8">
        <v>-4147569</v>
      </c>
      <c r="J8" s="24"/>
      <c r="K8" s="25"/>
      <c r="L8" s="25"/>
      <c r="M8" s="25"/>
    </row>
    <row r="9" spans="2:13" s="12" customFormat="1">
      <c r="B9" s="48" t="s">
        <v>252</v>
      </c>
      <c r="C9" s="309">
        <v>168665673</v>
      </c>
      <c r="D9" s="309">
        <v>172332242</v>
      </c>
      <c r="E9" s="11">
        <v>-2.1000000000000001E-2</v>
      </c>
      <c r="G9" s="10">
        <v>-3666569</v>
      </c>
      <c r="J9" s="27"/>
      <c r="K9" s="28"/>
      <c r="L9" s="28"/>
      <c r="M9" s="28"/>
    </row>
    <row r="10" spans="2:13">
      <c r="B10" s="23" t="s">
        <v>256</v>
      </c>
      <c r="C10" s="8">
        <v>1587533</v>
      </c>
      <c r="D10" s="8">
        <v>-1539315</v>
      </c>
      <c r="E10" s="9" t="s">
        <v>291</v>
      </c>
      <c r="F10" s="20"/>
      <c r="G10" s="8">
        <v>3126848</v>
      </c>
      <c r="J10" s="24"/>
      <c r="K10" s="25"/>
      <c r="L10" s="25"/>
      <c r="M10" s="25"/>
    </row>
    <row r="11" spans="2:13">
      <c r="B11" s="23" t="s">
        <v>399</v>
      </c>
      <c r="C11" s="8">
        <v>-60626237</v>
      </c>
      <c r="D11" s="8">
        <v>-53221925</v>
      </c>
      <c r="E11" s="9">
        <v>0.13900000000000001</v>
      </c>
      <c r="G11" s="8">
        <v>-7404312</v>
      </c>
      <c r="J11" s="24"/>
      <c r="K11" s="25"/>
      <c r="L11" s="25"/>
      <c r="M11" s="25"/>
    </row>
    <row r="12" spans="2:13">
      <c r="B12" s="23" t="s">
        <v>221</v>
      </c>
      <c r="C12" s="8">
        <v>-22937804</v>
      </c>
      <c r="D12" s="8">
        <v>-24224075</v>
      </c>
      <c r="E12" s="9">
        <v>-5.2999999999999999E-2</v>
      </c>
      <c r="G12" s="8">
        <v>1286271</v>
      </c>
      <c r="J12" s="24"/>
      <c r="K12" s="25"/>
      <c r="L12" s="25"/>
      <c r="M12" s="25"/>
    </row>
    <row r="13" spans="2:13">
      <c r="B13" s="23" t="s">
        <v>343</v>
      </c>
      <c r="C13" s="8">
        <v>-1443</v>
      </c>
      <c r="D13" s="8">
        <v>-1249</v>
      </c>
      <c r="E13" s="9">
        <v>0.155</v>
      </c>
      <c r="G13" s="8">
        <v>-194</v>
      </c>
      <c r="J13" s="24"/>
      <c r="K13" s="25"/>
      <c r="L13" s="25"/>
      <c r="M13" s="25"/>
    </row>
    <row r="14" spans="2:13" s="12" customFormat="1">
      <c r="B14" s="48" t="s">
        <v>389</v>
      </c>
      <c r="C14" s="309">
        <v>86687722</v>
      </c>
      <c r="D14" s="309">
        <v>93345678</v>
      </c>
      <c r="E14" s="11">
        <v>-7.0999999999999994E-2</v>
      </c>
      <c r="G14" s="10">
        <v>-6657956</v>
      </c>
      <c r="J14" s="27"/>
      <c r="K14" s="28"/>
      <c r="L14" s="28"/>
      <c r="M14" s="28"/>
    </row>
    <row r="15" spans="2:13">
      <c r="C15" s="259">
        <v>0</v>
      </c>
      <c r="D15" s="259">
        <v>0</v>
      </c>
      <c r="J15" s="24"/>
      <c r="M15" s="25"/>
    </row>
    <row r="16" spans="2:13">
      <c r="C16" s="25"/>
      <c r="D16" s="25"/>
      <c r="J16" s="24"/>
    </row>
    <row r="17" spans="2:10">
      <c r="B17" s="12" t="s">
        <v>245</v>
      </c>
      <c r="J17" s="24"/>
    </row>
    <row r="18" spans="2:10">
      <c r="J18" s="24"/>
    </row>
    <row r="19" spans="2:10" ht="13.5" thickBot="1">
      <c r="B19" s="47" t="s">
        <v>398</v>
      </c>
      <c r="C19" s="6" t="s">
        <v>361</v>
      </c>
      <c r="D19" s="6" t="s">
        <v>362</v>
      </c>
      <c r="E19" s="6" t="s">
        <v>178</v>
      </c>
      <c r="G19" s="6" t="s">
        <v>347</v>
      </c>
    </row>
    <row r="20" spans="2:10">
      <c r="B20" s="23" t="s">
        <v>397</v>
      </c>
      <c r="C20" s="8">
        <v>30019679</v>
      </c>
      <c r="D20" s="8">
        <v>27814878</v>
      </c>
      <c r="E20" s="9">
        <v>7.9000000000000001E-2</v>
      </c>
      <c r="G20" s="8">
        <v>2204801</v>
      </c>
    </row>
    <row r="21" spans="2:10">
      <c r="B21" s="23" t="s">
        <v>255</v>
      </c>
      <c r="C21" s="8">
        <v>9839174</v>
      </c>
      <c r="D21" s="8">
        <v>8441921</v>
      </c>
      <c r="E21" s="9">
        <v>0.16600000000000001</v>
      </c>
      <c r="G21" s="8">
        <v>1397253</v>
      </c>
    </row>
    <row r="22" spans="2:10">
      <c r="B22" s="23" t="s">
        <v>251</v>
      </c>
      <c r="C22" s="8">
        <v>-32474693</v>
      </c>
      <c r="D22" s="8">
        <v>-29716167</v>
      </c>
      <c r="E22" s="9">
        <v>9.2999999999999999E-2</v>
      </c>
      <c r="G22" s="8">
        <v>-2758526</v>
      </c>
    </row>
    <row r="23" spans="2:10">
      <c r="B23" s="48" t="s">
        <v>185</v>
      </c>
      <c r="C23" s="10">
        <v>7384160</v>
      </c>
      <c r="D23" s="10">
        <v>6540632</v>
      </c>
      <c r="E23" s="11">
        <v>0.129</v>
      </c>
      <c r="F23" s="12"/>
      <c r="G23" s="10">
        <v>843528</v>
      </c>
    </row>
    <row r="24" spans="2:10">
      <c r="B24" s="23" t="s">
        <v>62</v>
      </c>
      <c r="C24" s="8">
        <v>-1814289</v>
      </c>
      <c r="D24" s="8">
        <v>-1731402</v>
      </c>
      <c r="E24" s="9">
        <v>4.8000000000000001E-2</v>
      </c>
      <c r="G24" s="8">
        <v>-82887</v>
      </c>
    </row>
    <row r="25" spans="2:10">
      <c r="B25" s="48" t="s">
        <v>252</v>
      </c>
      <c r="C25" s="10">
        <v>5569871</v>
      </c>
      <c r="D25" s="10">
        <v>4809230</v>
      </c>
      <c r="E25" s="11">
        <v>0.158</v>
      </c>
      <c r="F25" s="12"/>
      <c r="G25" s="10">
        <v>760641</v>
      </c>
    </row>
    <row r="26" spans="2:10">
      <c r="B26" s="23" t="s">
        <v>256</v>
      </c>
      <c r="C26" s="8">
        <v>649560</v>
      </c>
      <c r="D26" s="8">
        <v>-234809</v>
      </c>
      <c r="E26" s="9">
        <v>-3.766</v>
      </c>
      <c r="G26" s="8">
        <v>884369</v>
      </c>
    </row>
    <row r="27" spans="2:10">
      <c r="B27" s="23" t="s">
        <v>399</v>
      </c>
      <c r="C27" s="8">
        <v>-113916</v>
      </c>
      <c r="D27" s="8">
        <v>-446311</v>
      </c>
      <c r="E27" s="9">
        <v>-0.745</v>
      </c>
      <c r="G27" s="8">
        <v>332395</v>
      </c>
    </row>
    <row r="28" spans="2:10">
      <c r="B28" s="23" t="s">
        <v>221</v>
      </c>
      <c r="C28" s="8">
        <v>-1391121</v>
      </c>
      <c r="D28" s="8">
        <v>-991412</v>
      </c>
      <c r="E28" s="9">
        <v>0.40300000000000002</v>
      </c>
      <c r="G28" s="8">
        <v>-399709</v>
      </c>
    </row>
    <row r="29" spans="2:10">
      <c r="B29" s="48" t="s">
        <v>389</v>
      </c>
      <c r="C29" s="309">
        <v>4714394</v>
      </c>
      <c r="D29" s="309">
        <v>3136698</v>
      </c>
      <c r="E29" s="11">
        <v>0.503</v>
      </c>
      <c r="F29" s="12"/>
      <c r="G29" s="10">
        <v>1577696</v>
      </c>
    </row>
    <row r="30" spans="2:10">
      <c r="C30" s="259">
        <v>0</v>
      </c>
      <c r="D30" s="259">
        <v>0</v>
      </c>
    </row>
    <row r="31" spans="2:10">
      <c r="C31" s="32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92D050"/>
  </sheetPr>
  <dimension ref="A1:N39"/>
  <sheetViews>
    <sheetView showGridLines="0" workbookViewId="0">
      <selection activeCell="B11" sqref="B11"/>
    </sheetView>
  </sheetViews>
  <sheetFormatPr baseColWidth="10" defaultColWidth="0" defaultRowHeight="12.75" zeroHeight="1"/>
  <cols>
    <col min="1" max="1" width="4" style="30" customWidth="1"/>
    <col min="2" max="2" width="25.42578125" style="30" bestFit="1" customWidth="1"/>
    <col min="3" max="8" width="11.42578125" style="30" customWidth="1"/>
    <col min="9" max="14" width="0" style="30" hidden="1" customWidth="1"/>
    <col min="15" max="16384" width="11.42578125" style="30" hidden="1"/>
  </cols>
  <sheetData>
    <row r="1" spans="1:14" ht="15" customHeight="1">
      <c r="A1" s="29" t="s">
        <v>199</v>
      </c>
    </row>
    <row r="2" spans="1:14"/>
    <row r="3" spans="1:14" ht="13.5" thickBot="1">
      <c r="B3" s="2" t="s">
        <v>398</v>
      </c>
      <c r="C3" s="342" t="s">
        <v>363</v>
      </c>
      <c r="D3" s="342" t="s">
        <v>364</v>
      </c>
      <c r="E3" s="342" t="s">
        <v>178</v>
      </c>
      <c r="F3" s="7"/>
      <c r="G3" s="342" t="s">
        <v>386</v>
      </c>
    </row>
    <row r="4" spans="1:14" ht="15" customHeight="1">
      <c r="B4" s="4" t="s">
        <v>387</v>
      </c>
      <c r="C4" s="308">
        <v>143355594</v>
      </c>
      <c r="D4" s="308">
        <v>138426249</v>
      </c>
      <c r="E4" s="9">
        <v>3.5999999999999997E-2</v>
      </c>
      <c r="F4" s="7"/>
      <c r="G4" s="8">
        <v>4929345</v>
      </c>
    </row>
    <row r="5" spans="1:14" s="31" customFormat="1" ht="15" customHeight="1">
      <c r="B5" s="4" t="s">
        <v>184</v>
      </c>
      <c r="C5" s="308">
        <v>-84583869</v>
      </c>
      <c r="D5" s="308">
        <v>-78768374</v>
      </c>
      <c r="E5" s="9">
        <v>7.3999999999999996E-2</v>
      </c>
      <c r="F5" s="7"/>
      <c r="G5" s="8">
        <v>-5815495</v>
      </c>
    </row>
    <row r="6" spans="1:14" s="31" customFormat="1" ht="15" customHeight="1">
      <c r="B6" s="5" t="s">
        <v>185</v>
      </c>
      <c r="C6" s="326">
        <v>58771725</v>
      </c>
      <c r="D6" s="326">
        <v>59657875</v>
      </c>
      <c r="E6" s="11">
        <v>-1.4999999999999999E-2</v>
      </c>
      <c r="F6" s="12"/>
      <c r="G6" s="10">
        <v>-886150</v>
      </c>
    </row>
    <row r="7" spans="1:14" s="31" customFormat="1" ht="15" customHeight="1">
      <c r="B7" s="4" t="s">
        <v>186</v>
      </c>
      <c r="C7" s="308">
        <v>-20220051</v>
      </c>
      <c r="D7" s="308">
        <v>-19264529</v>
      </c>
      <c r="E7" s="9">
        <v>0.05</v>
      </c>
      <c r="F7" s="7"/>
      <c r="G7" s="8">
        <v>-955522</v>
      </c>
      <c r="L7" s="22"/>
      <c r="M7" s="22"/>
      <c r="N7" s="32"/>
    </row>
    <row r="8" spans="1:14" s="31" customFormat="1" ht="15" customHeight="1">
      <c r="B8" s="5" t="s">
        <v>187</v>
      </c>
      <c r="C8" s="326">
        <v>38551674</v>
      </c>
      <c r="D8" s="326">
        <v>40393346</v>
      </c>
      <c r="E8" s="11">
        <v>-4.5999999999999999E-2</v>
      </c>
      <c r="F8" s="12"/>
      <c r="G8" s="10">
        <v>-1841672</v>
      </c>
    </row>
    <row r="9" spans="1:14" s="31" customFormat="1" ht="15" customHeight="1">
      <c r="B9" s="4" t="s">
        <v>266</v>
      </c>
      <c r="C9" s="308">
        <v>-264659</v>
      </c>
      <c r="D9" s="308">
        <v>117193</v>
      </c>
      <c r="E9" s="9">
        <v>-3.258</v>
      </c>
      <c r="F9" s="49"/>
      <c r="G9" s="8">
        <v>-381852</v>
      </c>
    </row>
    <row r="10" spans="1:14" s="31" customFormat="1" ht="15" customHeight="1">
      <c r="B10" s="4" t="s">
        <v>295</v>
      </c>
      <c r="C10" s="308">
        <v>0</v>
      </c>
      <c r="D10" s="308">
        <v>0</v>
      </c>
      <c r="E10" s="9">
        <v>0</v>
      </c>
      <c r="F10" s="49"/>
      <c r="G10" s="8">
        <v>0</v>
      </c>
    </row>
    <row r="11" spans="1:14" s="31" customFormat="1" ht="15" customHeight="1">
      <c r="B11" s="4" t="s">
        <v>400</v>
      </c>
      <c r="C11" s="308">
        <v>-20775596</v>
      </c>
      <c r="D11" s="308">
        <v>-11279971</v>
      </c>
      <c r="E11" s="9">
        <v>0.84199999999999997</v>
      </c>
      <c r="F11" s="7"/>
      <c r="G11" s="8">
        <v>-9495625</v>
      </c>
    </row>
    <row r="12" spans="1:14" s="31" customFormat="1" ht="15" customHeight="1">
      <c r="B12" s="4" t="s">
        <v>221</v>
      </c>
      <c r="C12" s="308">
        <v>-2616166</v>
      </c>
      <c r="D12" s="443">
        <v>-7170908</v>
      </c>
      <c r="E12" s="9">
        <v>-0.63500000000000001</v>
      </c>
      <c r="F12" s="7"/>
      <c r="G12" s="8">
        <v>4554742</v>
      </c>
    </row>
    <row r="13" spans="1:14" s="31" customFormat="1" ht="15" customHeight="1">
      <c r="B13" s="4" t="s">
        <v>357</v>
      </c>
      <c r="C13" s="308">
        <v>-215</v>
      </c>
      <c r="D13" s="443">
        <v>-66</v>
      </c>
      <c r="E13" s="9">
        <v>2.258</v>
      </c>
      <c r="F13" s="7"/>
      <c r="G13" s="8">
        <v>-149</v>
      </c>
    </row>
    <row r="14" spans="1:14" s="31" customFormat="1" ht="15" customHeight="1">
      <c r="B14" s="5" t="s">
        <v>188</v>
      </c>
      <c r="C14" s="309">
        <v>14895038</v>
      </c>
      <c r="D14" s="442">
        <v>22059594</v>
      </c>
      <c r="E14" s="11">
        <v>-0.32500000000000001</v>
      </c>
      <c r="F14" s="12"/>
      <c r="G14" s="10">
        <v>-7164556</v>
      </c>
    </row>
    <row r="15" spans="1:14" s="31" customFormat="1" ht="15" customHeight="1">
      <c r="C15" s="309">
        <v>0</v>
      </c>
      <c r="D15" s="309">
        <v>0</v>
      </c>
    </row>
    <row r="16" spans="1:14" s="31" customFormat="1" ht="15" hidden="1" customHeight="1"/>
    <row r="17" s="31" customFormat="1" ht="15" hidden="1" customHeight="1"/>
    <row r="18" s="31" customFormat="1" ht="15" hidden="1" customHeight="1"/>
    <row r="19" s="31" customFormat="1" ht="15" hidden="1" customHeight="1"/>
    <row r="20" s="31" customFormat="1" ht="15" hidden="1" customHeight="1"/>
    <row r="21" s="31" customFormat="1" ht="15" hidden="1" customHeight="1"/>
    <row r="22" s="31" customFormat="1" ht="15" hidden="1" customHeight="1"/>
    <row r="23" s="31" customFormat="1" ht="15" hidden="1" customHeight="1"/>
    <row r="24" s="31" customFormat="1" ht="15" hidden="1" customHeight="1"/>
    <row r="25" s="31" customFormat="1" ht="15" hidden="1" customHeight="1"/>
    <row r="26" s="31" customFormat="1" ht="15" hidden="1" customHeight="1"/>
    <row r="27" s="31" customFormat="1" ht="15" hidden="1" customHeight="1"/>
    <row r="28" s="31" customFormat="1" ht="15" hidden="1" customHeight="1"/>
    <row r="39" ht="15" hidden="1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92D050"/>
    <pageSetUpPr fitToPage="1"/>
  </sheetPr>
  <dimension ref="A1:L33"/>
  <sheetViews>
    <sheetView showGridLines="0" topLeftCell="A5" workbookViewId="0">
      <selection activeCell="B29" sqref="B29"/>
    </sheetView>
  </sheetViews>
  <sheetFormatPr baseColWidth="10" defaultColWidth="0" defaultRowHeight="15" customHeight="1" zeroHeight="1"/>
  <cols>
    <col min="1" max="1" width="3.85546875" style="7" customWidth="1"/>
    <col min="2" max="2" width="49.42578125" style="7" customWidth="1"/>
    <col min="3" max="4" width="15.5703125" style="7" customWidth="1"/>
    <col min="5" max="5" width="10.5703125" style="7" customWidth="1"/>
    <col min="6" max="6" width="11.42578125" style="7" customWidth="1"/>
    <col min="7" max="12" width="0" style="7" hidden="1" customWidth="1"/>
    <col min="13" max="16384" width="11.42578125" style="7" hidden="1"/>
  </cols>
  <sheetData>
    <row r="1" spans="2:11" ht="15" customHeight="1"/>
    <row r="2" spans="2:11" ht="15" customHeight="1">
      <c r="B2" s="14"/>
      <c r="C2" s="14"/>
      <c r="D2" s="14"/>
      <c r="E2" s="14"/>
    </row>
    <row r="3" spans="2:11" ht="15" customHeight="1" thickBot="1">
      <c r="B3" s="17" t="s">
        <v>179</v>
      </c>
      <c r="C3" s="6" t="s">
        <v>361</v>
      </c>
      <c r="D3" s="6" t="s">
        <v>346</v>
      </c>
      <c r="E3" s="17" t="s">
        <v>178</v>
      </c>
      <c r="H3" s="352"/>
      <c r="I3" s="352"/>
    </row>
    <row r="4" spans="2:11" ht="12.75" customHeight="1">
      <c r="B4" s="4" t="s">
        <v>2</v>
      </c>
      <c r="C4" s="447">
        <v>224484651</v>
      </c>
      <c r="D4" s="447">
        <v>275004410</v>
      </c>
      <c r="E4" s="448">
        <v>-0.184</v>
      </c>
      <c r="H4" s="352"/>
      <c r="I4" s="352"/>
    </row>
    <row r="5" spans="2:11" ht="12.75" customHeight="1">
      <c r="B5" s="4" t="s">
        <v>3</v>
      </c>
      <c r="C5" s="447">
        <v>2521054835</v>
      </c>
      <c r="D5" s="447">
        <v>2148343319</v>
      </c>
      <c r="E5" s="448">
        <v>0.17299999999999999</v>
      </c>
      <c r="H5" s="352"/>
      <c r="I5" s="352"/>
      <c r="J5" s="352"/>
      <c r="K5" s="321"/>
    </row>
    <row r="6" spans="2:11" ht="12.75" customHeight="1">
      <c r="B6" s="5" t="s">
        <v>72</v>
      </c>
      <c r="C6" s="449">
        <v>2745539486</v>
      </c>
      <c r="D6" s="449">
        <v>2423347729</v>
      </c>
      <c r="E6" s="450">
        <v>0.13300000000000001</v>
      </c>
    </row>
    <row r="7" spans="2:11" ht="12.75" customHeight="1">
      <c r="B7" s="17" t="s">
        <v>203</v>
      </c>
      <c r="C7" s="451"/>
      <c r="D7" s="451"/>
      <c r="E7" s="452"/>
    </row>
    <row r="8" spans="2:11" ht="12.75" customHeight="1">
      <c r="B8" s="4" t="s">
        <v>0</v>
      </c>
      <c r="C8" s="447">
        <v>249887542</v>
      </c>
      <c r="D8" s="447">
        <v>361668126</v>
      </c>
      <c r="E8" s="448">
        <v>-0.309</v>
      </c>
    </row>
    <row r="9" spans="2:11" ht="12.75" customHeight="1">
      <c r="B9" s="4" t="s">
        <v>1</v>
      </c>
      <c r="C9" s="447">
        <v>1324968459</v>
      </c>
      <c r="D9" s="447">
        <v>1175540305</v>
      </c>
      <c r="E9" s="448">
        <v>0.127</v>
      </c>
    </row>
    <row r="10" spans="2:11" ht="12.75" customHeight="1">
      <c r="B10" s="5" t="s">
        <v>73</v>
      </c>
      <c r="C10" s="449">
        <v>1574856001</v>
      </c>
      <c r="D10" s="449">
        <v>1537208431</v>
      </c>
      <c r="E10" s="450">
        <v>2.4E-2</v>
      </c>
    </row>
    <row r="11" spans="2:11" ht="12.75" customHeight="1">
      <c r="B11" s="14"/>
      <c r="C11" s="451"/>
      <c r="D11" s="451"/>
      <c r="E11" s="452"/>
    </row>
    <row r="12" spans="2:11" ht="12.75" customHeight="1">
      <c r="B12" s="4" t="s">
        <v>401</v>
      </c>
      <c r="C12" s="447">
        <v>1170649938</v>
      </c>
      <c r="D12" s="447">
        <v>886107830</v>
      </c>
      <c r="E12" s="448">
        <v>0.32100000000000001</v>
      </c>
    </row>
    <row r="13" spans="2:11" ht="12.75" customHeight="1">
      <c r="B13" s="4" t="s">
        <v>94</v>
      </c>
      <c r="C13" s="447">
        <v>33547</v>
      </c>
      <c r="D13" s="447">
        <v>31468</v>
      </c>
      <c r="E13" s="448">
        <v>6.6000000000000003E-2</v>
      </c>
    </row>
    <row r="14" spans="2:11" ht="12.75" customHeight="1">
      <c r="B14" s="5" t="s">
        <v>201</v>
      </c>
      <c r="C14" s="449">
        <v>1170683485</v>
      </c>
      <c r="D14" s="449">
        <v>886139298</v>
      </c>
      <c r="E14" s="450">
        <v>0.32100000000000001</v>
      </c>
    </row>
    <row r="15" spans="2:11" ht="12.75" customHeight="1">
      <c r="B15" s="5" t="s">
        <v>180</v>
      </c>
      <c r="C15" s="449">
        <v>2745539486</v>
      </c>
      <c r="D15" s="449">
        <v>2423347729</v>
      </c>
      <c r="E15" s="450">
        <v>0.13300000000000001</v>
      </c>
    </row>
    <row r="16" spans="2:11" ht="15" customHeight="1">
      <c r="B16" s="14"/>
      <c r="C16" s="14"/>
      <c r="D16" s="14"/>
      <c r="E16" s="14"/>
    </row>
    <row r="17" spans="2:5" ht="15" customHeight="1">
      <c r="C17" s="453">
        <v>0</v>
      </c>
      <c r="D17" s="453">
        <v>0</v>
      </c>
    </row>
    <row r="18" spans="2:5" ht="15" customHeight="1"/>
    <row r="19" spans="2:5" ht="15" customHeight="1">
      <c r="B19" s="355"/>
    </row>
    <row r="20" spans="2:5" ht="15" customHeight="1" thickBot="1">
      <c r="B20" s="353" t="s">
        <v>384</v>
      </c>
      <c r="C20" s="6" t="s">
        <v>361</v>
      </c>
      <c r="D20" s="6"/>
      <c r="E20" s="7" t="s">
        <v>302</v>
      </c>
    </row>
    <row r="21" spans="2:5" ht="15" customHeight="1">
      <c r="B21" s="23" t="s">
        <v>404</v>
      </c>
      <c r="C21" s="18">
        <v>25253612</v>
      </c>
      <c r="D21" s="18"/>
      <c r="E21" s="454"/>
    </row>
    <row r="22" spans="2:5" ht="15" customHeight="1">
      <c r="B22" s="23" t="s">
        <v>405</v>
      </c>
      <c r="C22" s="18">
        <v>13179148</v>
      </c>
      <c r="D22" s="18"/>
      <c r="E22" s="454"/>
    </row>
    <row r="23" spans="2:5" ht="15" customHeight="1">
      <c r="B23" s="23" t="s">
        <v>402</v>
      </c>
      <c r="C23" s="18">
        <v>11434639</v>
      </c>
      <c r="D23" s="18"/>
      <c r="E23" s="454"/>
    </row>
    <row r="24" spans="2:5" ht="15" customHeight="1">
      <c r="B24" s="23" t="s">
        <v>406</v>
      </c>
      <c r="C24" s="18">
        <v>4073361</v>
      </c>
      <c r="D24" s="18"/>
      <c r="E24" s="454"/>
    </row>
    <row r="25" spans="2:5" ht="15" customHeight="1">
      <c r="B25" s="23" t="s">
        <v>383</v>
      </c>
      <c r="C25" s="18">
        <v>3908829</v>
      </c>
      <c r="D25" s="18"/>
      <c r="E25" s="454"/>
    </row>
    <row r="26" spans="2:5" ht="15" customHeight="1">
      <c r="B26" s="23" t="s">
        <v>403</v>
      </c>
      <c r="C26" s="18">
        <v>2195632</v>
      </c>
      <c r="D26" s="18"/>
      <c r="E26" s="454"/>
    </row>
    <row r="27" spans="2:5" ht="15" customHeight="1">
      <c r="B27" s="23" t="s">
        <v>407</v>
      </c>
      <c r="C27" s="18">
        <v>1735993</v>
      </c>
      <c r="D27" s="18"/>
      <c r="E27" s="454"/>
    </row>
    <row r="28" spans="2:5" ht="15" customHeight="1">
      <c r="B28" s="23" t="s">
        <v>408</v>
      </c>
      <c r="C28" s="18">
        <v>1194850</v>
      </c>
      <c r="D28" s="18"/>
      <c r="E28" s="454"/>
    </row>
    <row r="29" spans="2:5" ht="15" customHeight="1">
      <c r="B29" s="23" t="s">
        <v>409</v>
      </c>
      <c r="C29" s="18">
        <v>946611</v>
      </c>
      <c r="D29" s="18"/>
      <c r="E29" s="454"/>
    </row>
    <row r="30" spans="2:5" ht="15" customHeight="1">
      <c r="B30" s="23" t="s">
        <v>349</v>
      </c>
      <c r="C30" s="18">
        <v>31561891</v>
      </c>
      <c r="D30" s="461"/>
      <c r="E30" s="461"/>
    </row>
    <row r="31" spans="2:5" ht="15" customHeight="1">
      <c r="B31" s="23"/>
      <c r="C31" s="18"/>
    </row>
    <row r="32" spans="2:5" ht="15" hidden="1" customHeight="1">
      <c r="B32" s="401"/>
      <c r="C32" s="18"/>
    </row>
    <row r="33" spans="3:3" ht="15" hidden="1" customHeight="1">
      <c r="C33" s="18"/>
    </row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7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</sheetPr>
  <dimension ref="A1:L63"/>
  <sheetViews>
    <sheetView showGridLines="0" zoomScaleNormal="100" workbookViewId="0">
      <selection activeCell="A57" sqref="A57"/>
    </sheetView>
  </sheetViews>
  <sheetFormatPr baseColWidth="10" defaultColWidth="0" defaultRowHeight="15" customHeight="1" zeroHeight="1"/>
  <cols>
    <col min="1" max="1" width="26.140625" style="7" bestFit="1" customWidth="1"/>
    <col min="2" max="2" width="24.5703125" style="7" bestFit="1" customWidth="1"/>
    <col min="3" max="3" width="9.42578125" style="7" customWidth="1"/>
    <col min="4" max="4" width="11.140625" style="7" bestFit="1" customWidth="1"/>
    <col min="5" max="7" width="10.85546875" style="7" customWidth="1"/>
    <col min="8" max="8" width="12.42578125" style="7" customWidth="1"/>
    <col min="9" max="9" width="11.42578125" style="7" customWidth="1"/>
    <col min="10" max="10" width="14.5703125" style="7" customWidth="1"/>
    <col min="11" max="11" width="11.42578125" style="7" customWidth="1"/>
    <col min="12" max="12" width="30.140625" style="7" bestFit="1" customWidth="1"/>
    <col min="13" max="16384" width="11.42578125" style="7" hidden="1"/>
  </cols>
  <sheetData>
    <row r="1" spans="1:10" ht="15" customHeight="1">
      <c r="E1" s="33"/>
      <c r="F1" s="33"/>
      <c r="G1" s="33"/>
      <c r="H1" s="33"/>
    </row>
    <row r="2" spans="1:10" ht="18.75" customHeight="1" thickBot="1">
      <c r="B2" s="34" t="s">
        <v>247</v>
      </c>
      <c r="C2" s="35" t="s">
        <v>195</v>
      </c>
      <c r="D2" s="35" t="s">
        <v>196</v>
      </c>
      <c r="E2" s="35" t="s">
        <v>197</v>
      </c>
      <c r="F2" s="35" t="s">
        <v>204</v>
      </c>
      <c r="G2" s="35" t="s">
        <v>205</v>
      </c>
      <c r="H2" s="35" t="s">
        <v>206</v>
      </c>
    </row>
    <row r="3" spans="1:10" ht="15" customHeight="1">
      <c r="A3" s="350"/>
      <c r="B3" s="3" t="s">
        <v>410</v>
      </c>
      <c r="C3" s="36" t="s">
        <v>71</v>
      </c>
      <c r="D3" s="249">
        <v>168579944</v>
      </c>
      <c r="E3" s="250">
        <v>21250186</v>
      </c>
      <c r="F3" s="250">
        <v>39732862</v>
      </c>
      <c r="G3" s="250">
        <v>39004743</v>
      </c>
      <c r="H3" s="250">
        <v>68592153</v>
      </c>
      <c r="J3" s="321"/>
    </row>
    <row r="4" spans="1:10" ht="15" customHeight="1">
      <c r="A4" s="350"/>
      <c r="B4" s="4" t="s">
        <v>344</v>
      </c>
      <c r="C4" s="36" t="s">
        <v>71</v>
      </c>
      <c r="D4" s="249">
        <v>977119018</v>
      </c>
      <c r="E4" s="250">
        <v>18203401</v>
      </c>
      <c r="F4" s="250">
        <v>0</v>
      </c>
      <c r="G4" s="250">
        <v>105658714</v>
      </c>
      <c r="H4" s="250">
        <v>853256903</v>
      </c>
    </row>
    <row r="5" spans="1:10" ht="15" customHeight="1">
      <c r="A5" s="350"/>
      <c r="B5" s="4" t="s">
        <v>224</v>
      </c>
      <c r="C5" s="36" t="s">
        <v>71</v>
      </c>
      <c r="D5" s="249">
        <v>173856508</v>
      </c>
      <c r="E5" s="250">
        <v>49977601</v>
      </c>
      <c r="F5" s="250">
        <v>94165202</v>
      </c>
      <c r="G5" s="250">
        <v>29713705</v>
      </c>
      <c r="H5" s="250">
        <v>0</v>
      </c>
    </row>
    <row r="6" spans="1:10" ht="15" customHeight="1">
      <c r="A6" s="350"/>
      <c r="B6" s="4" t="s">
        <v>306</v>
      </c>
      <c r="C6" s="36" t="s">
        <v>305</v>
      </c>
      <c r="D6" s="249">
        <v>0</v>
      </c>
      <c r="E6" s="250">
        <v>0</v>
      </c>
      <c r="F6" s="250">
        <v>0</v>
      </c>
      <c r="G6" s="250">
        <v>0</v>
      </c>
      <c r="H6" s="250">
        <v>0</v>
      </c>
    </row>
    <row r="7" spans="1:10" ht="15" customHeight="1">
      <c r="B7" s="5" t="s">
        <v>292</v>
      </c>
      <c r="C7" s="36"/>
      <c r="D7" s="249">
        <v>1319555470</v>
      </c>
      <c r="E7" s="249">
        <v>89431188</v>
      </c>
      <c r="F7" s="249">
        <v>133898064</v>
      </c>
      <c r="G7" s="249">
        <v>174377162</v>
      </c>
      <c r="H7" s="249">
        <v>921849056</v>
      </c>
    </row>
    <row r="8" spans="1:10" ht="15" customHeight="1">
      <c r="A8" s="350"/>
      <c r="B8" s="322" t="s">
        <v>260</v>
      </c>
      <c r="C8" s="323" t="s">
        <v>71</v>
      </c>
      <c r="D8" s="324">
        <v>4021681</v>
      </c>
      <c r="E8" s="325">
        <v>1749268</v>
      </c>
      <c r="F8" s="325">
        <v>1468244</v>
      </c>
      <c r="G8" s="325">
        <v>804169</v>
      </c>
      <c r="H8" s="325">
        <v>0</v>
      </c>
    </row>
    <row r="9" spans="1:10" ht="15" customHeight="1" thickBot="1">
      <c r="A9" s="350"/>
      <c r="B9" s="5" t="s">
        <v>293</v>
      </c>
      <c r="C9" s="37"/>
      <c r="D9" s="251">
        <v>4021681</v>
      </c>
      <c r="E9" s="251">
        <v>1749268</v>
      </c>
      <c r="F9" s="251">
        <v>1468244</v>
      </c>
      <c r="G9" s="251">
        <v>804169</v>
      </c>
      <c r="H9" s="251">
        <v>0</v>
      </c>
    </row>
    <row r="10" spans="1:10" ht="15" customHeight="1">
      <c r="B10" s="38" t="s">
        <v>202</v>
      </c>
      <c r="C10" s="14"/>
      <c r="D10" s="249">
        <v>1323577151</v>
      </c>
      <c r="E10" s="249">
        <v>91180456</v>
      </c>
      <c r="F10" s="249">
        <v>135366308</v>
      </c>
      <c r="G10" s="249">
        <v>175181331</v>
      </c>
      <c r="H10" s="249">
        <v>921849056</v>
      </c>
      <c r="J10" s="21"/>
    </row>
    <row r="11" spans="1:10" ht="15" customHeight="1">
      <c r="D11" s="352">
        <v>0</v>
      </c>
    </row>
    <row r="12" spans="1:10" ht="15" customHeight="1">
      <c r="B12" s="7" t="s">
        <v>231</v>
      </c>
      <c r="D12" s="21"/>
      <c r="E12" s="21"/>
      <c r="F12" s="7" t="s">
        <v>232</v>
      </c>
      <c r="G12" s="21"/>
      <c r="H12" s="21"/>
    </row>
    <row r="13" spans="1:10" ht="15" customHeight="1">
      <c r="B13" s="39" t="s">
        <v>410</v>
      </c>
      <c r="C13" s="441">
        <v>0.127</v>
      </c>
      <c r="D13" s="40">
        <v>168579944</v>
      </c>
      <c r="E13" s="39"/>
      <c r="F13" s="39" t="s">
        <v>208</v>
      </c>
      <c r="G13" s="349">
        <v>0.89100000000000001</v>
      </c>
      <c r="H13" s="40">
        <v>1179895977</v>
      </c>
      <c r="I13" s="350"/>
    </row>
    <row r="14" spans="1:10" ht="15" customHeight="1">
      <c r="B14" s="39" t="s">
        <v>223</v>
      </c>
      <c r="C14" s="441">
        <v>0.73899999999999999</v>
      </c>
      <c r="D14" s="40">
        <v>977119018</v>
      </c>
      <c r="E14" s="39"/>
      <c r="F14" s="39" t="s">
        <v>207</v>
      </c>
      <c r="G14" s="349">
        <v>0.109</v>
      </c>
      <c r="H14" s="40">
        <v>143681174</v>
      </c>
      <c r="I14" s="350"/>
      <c r="J14" s="393"/>
    </row>
    <row r="15" spans="1:10" ht="15" customHeight="1">
      <c r="B15" s="39" t="s">
        <v>224</v>
      </c>
      <c r="C15" s="441">
        <v>0.13100000000000001</v>
      </c>
      <c r="D15" s="40">
        <v>173856508</v>
      </c>
      <c r="E15" s="39"/>
      <c r="F15" s="39"/>
      <c r="G15" s="351">
        <v>1</v>
      </c>
      <c r="H15" s="40">
        <v>1323577151</v>
      </c>
      <c r="J15" s="343"/>
    </row>
    <row r="16" spans="1:10" ht="12.75">
      <c r="B16" s="39" t="s">
        <v>260</v>
      </c>
      <c r="C16" s="441">
        <v>3.0000000000000001E-3</v>
      </c>
      <c r="D16" s="40">
        <v>4021681</v>
      </c>
      <c r="G16" s="41"/>
    </row>
    <row r="17" spans="3:8" ht="15" customHeight="1">
      <c r="C17" s="348">
        <v>1</v>
      </c>
      <c r="D17" s="344"/>
      <c r="G17" s="42"/>
    </row>
    <row r="18" spans="3:8" ht="15" customHeight="1">
      <c r="C18" s="41"/>
      <c r="D18" s="21"/>
      <c r="E18" s="21"/>
      <c r="F18" s="21"/>
      <c r="G18" s="21"/>
      <c r="H18" s="21"/>
    </row>
    <row r="19" spans="3:8" ht="15" customHeight="1">
      <c r="C19" s="42"/>
      <c r="D19" s="21"/>
      <c r="E19" s="21"/>
      <c r="F19" s="21"/>
      <c r="G19" s="21"/>
      <c r="H19" s="21"/>
    </row>
    <row r="20" spans="3:8" ht="15" customHeight="1">
      <c r="D20" s="21"/>
    </row>
    <row r="21" spans="3:8" ht="15" customHeight="1">
      <c r="D21" s="21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116" t="s">
        <v>281</v>
      </c>
      <c r="B43" s="312">
        <v>143681174</v>
      </c>
      <c r="C43" s="418">
        <v>0.1086</v>
      </c>
      <c r="D43" s="352">
        <v>0</v>
      </c>
    </row>
    <row r="44" spans="1:4" ht="15" customHeight="1">
      <c r="A44" s="116" t="s">
        <v>282</v>
      </c>
      <c r="B44" s="312">
        <v>30175334</v>
      </c>
      <c r="C44" s="418">
        <v>2.2800000000000001E-2</v>
      </c>
    </row>
    <row r="45" spans="1:4" ht="15" customHeight="1">
      <c r="A45" s="116" t="s">
        <v>223</v>
      </c>
      <c r="B45" s="312">
        <v>968661127</v>
      </c>
      <c r="C45" s="418">
        <v>0.73180000000000001</v>
      </c>
      <c r="D45" s="352">
        <v>0</v>
      </c>
    </row>
    <row r="46" spans="1:4" ht="15" customHeight="1">
      <c r="A46" s="116" t="s">
        <v>279</v>
      </c>
      <c r="B46" s="312">
        <v>168579944</v>
      </c>
      <c r="C46" s="418">
        <v>0.12740000000000001</v>
      </c>
      <c r="D46" s="321">
        <v>0</v>
      </c>
    </row>
    <row r="47" spans="1:4" ht="15" customHeight="1">
      <c r="A47" s="116" t="s">
        <v>303</v>
      </c>
      <c r="B47" s="312">
        <v>8457891</v>
      </c>
      <c r="C47" s="418">
        <v>6.4000000000000003E-3</v>
      </c>
      <c r="D47" s="116"/>
    </row>
    <row r="48" spans="1:4" ht="15" customHeight="1">
      <c r="A48" s="116" t="s">
        <v>359</v>
      </c>
      <c r="B48" s="312">
        <v>0</v>
      </c>
      <c r="C48" s="418">
        <v>0</v>
      </c>
    </row>
    <row r="49" spans="1:5" ht="15" customHeight="1">
      <c r="A49" s="116" t="s">
        <v>277</v>
      </c>
      <c r="B49" s="312">
        <v>4021681</v>
      </c>
      <c r="C49" s="418">
        <v>3.0000000000000001E-3</v>
      </c>
      <c r="D49" s="321">
        <v>0</v>
      </c>
    </row>
    <row r="50" spans="1:5" ht="15" customHeight="1">
      <c r="A50" s="115" t="s">
        <v>280</v>
      </c>
      <c r="B50" s="313">
        <v>1323577151</v>
      </c>
      <c r="C50" s="314">
        <v>0.99999999999999989</v>
      </c>
    </row>
    <row r="51" spans="1:5" ht="15" customHeight="1">
      <c r="A51" s="116"/>
    </row>
    <row r="52" spans="1:5" ht="15" customHeight="1">
      <c r="A52" s="310" t="s">
        <v>358</v>
      </c>
      <c r="B52" s="310"/>
      <c r="C52" s="310"/>
    </row>
    <row r="53" spans="1:5" ht="15" customHeight="1">
      <c r="A53" s="116" t="s">
        <v>208</v>
      </c>
      <c r="B53" s="116"/>
      <c r="C53" s="244">
        <v>0.89139999999999997</v>
      </c>
      <c r="D53" s="41"/>
    </row>
    <row r="54" spans="1:5" ht="15" customHeight="1">
      <c r="A54" s="116" t="s">
        <v>207</v>
      </c>
      <c r="B54" s="116"/>
      <c r="C54" s="244">
        <v>0.1086</v>
      </c>
      <c r="D54" s="41"/>
    </row>
    <row r="55" spans="1:5" ht="15" customHeight="1">
      <c r="A55" s="311" t="s">
        <v>191</v>
      </c>
      <c r="B55" s="311"/>
      <c r="C55" s="347">
        <v>1</v>
      </c>
      <c r="D55" s="41"/>
      <c r="E55" s="419"/>
    </row>
    <row r="56" spans="1:5" ht="15" customHeight="1">
      <c r="A56" s="116" t="s">
        <v>276</v>
      </c>
      <c r="B56" s="116"/>
      <c r="C56" s="216">
        <v>0.82099999999999995</v>
      </c>
    </row>
    <row r="57" spans="1:5" ht="15" customHeight="1">
      <c r="A57" s="116" t="s">
        <v>410</v>
      </c>
      <c r="B57" s="116"/>
      <c r="C57" s="216">
        <v>0.14299999999999999</v>
      </c>
    </row>
    <row r="58" spans="1:5" ht="15" customHeight="1">
      <c r="A58" s="116" t="s">
        <v>278</v>
      </c>
      <c r="B58" s="116"/>
      <c r="C58" s="216">
        <v>2.5999999999999999E-2</v>
      </c>
    </row>
    <row r="59" spans="1:5" ht="15" customHeight="1">
      <c r="A59" s="116" t="s">
        <v>303</v>
      </c>
      <c r="B59" s="116"/>
      <c r="C59" s="216">
        <v>7.0000000000000001E-3</v>
      </c>
    </row>
    <row r="60" spans="1:5" ht="15" customHeight="1">
      <c r="A60" s="116" t="s">
        <v>359</v>
      </c>
      <c r="B60" s="116"/>
      <c r="C60" s="216">
        <v>0</v>
      </c>
    </row>
    <row r="61" spans="1:5" ht="15" customHeight="1">
      <c r="A61" s="116" t="s">
        <v>277</v>
      </c>
      <c r="B61" s="116"/>
      <c r="C61" s="216">
        <v>3.0000000000000001E-3</v>
      </c>
    </row>
    <row r="62" spans="1:5" ht="15" customHeight="1">
      <c r="A62" s="311" t="s">
        <v>191</v>
      </c>
      <c r="B62" s="311"/>
      <c r="C62" s="347">
        <v>1</v>
      </c>
    </row>
    <row r="63" spans="1:5" ht="15" customHeight="1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92D050"/>
    <pageSetUpPr fitToPage="1"/>
  </sheetPr>
  <dimension ref="A1:F8"/>
  <sheetViews>
    <sheetView showGridLines="0" workbookViewId="0">
      <selection activeCell="B4" sqref="B4"/>
    </sheetView>
  </sheetViews>
  <sheetFormatPr baseColWidth="10" defaultColWidth="0" defaultRowHeight="15" customHeight="1" zeroHeight="1"/>
  <cols>
    <col min="1" max="1" width="6" style="7" customWidth="1"/>
    <col min="2" max="2" width="33.42578125" style="7" customWidth="1"/>
    <col min="3" max="4" width="12" style="7" bestFit="1" customWidth="1"/>
    <col min="5" max="6" width="11.42578125" style="7" customWidth="1"/>
    <col min="7" max="16384" width="11.42578125" style="7" hidden="1"/>
  </cols>
  <sheetData>
    <row r="1" spans="2:5" ht="15" customHeight="1"/>
    <row r="2" spans="2:5" ht="15" customHeight="1"/>
    <row r="3" spans="2:5" ht="15" customHeight="1" thickBot="1">
      <c r="B3" s="19" t="s">
        <v>257</v>
      </c>
      <c r="C3" s="6" t="s">
        <v>361</v>
      </c>
      <c r="D3" s="6" t="s">
        <v>362</v>
      </c>
      <c r="E3" s="6" t="s">
        <v>178</v>
      </c>
    </row>
    <row r="4" spans="2:5" ht="15" customHeight="1">
      <c r="B4" s="4" t="s">
        <v>413</v>
      </c>
      <c r="C4" s="8">
        <v>203238467</v>
      </c>
      <c r="D4" s="8">
        <v>172602343</v>
      </c>
      <c r="E4" s="43">
        <v>0.17699999999999999</v>
      </c>
    </row>
    <row r="5" spans="2:5" ht="15" customHeight="1">
      <c r="B5" s="4" t="s">
        <v>181</v>
      </c>
      <c r="C5" s="8">
        <v>-141473209</v>
      </c>
      <c r="D5" s="8">
        <v>-100435701</v>
      </c>
      <c r="E5" s="43">
        <v>0.40899999999999997</v>
      </c>
    </row>
    <row r="6" spans="2:5" ht="15" customHeight="1">
      <c r="B6" s="4" t="s">
        <v>411</v>
      </c>
      <c r="C6" s="8">
        <v>-96046926</v>
      </c>
      <c r="D6" s="8">
        <v>-105381750</v>
      </c>
      <c r="E6" s="43">
        <v>-8.8999999999999996E-2</v>
      </c>
    </row>
    <row r="7" spans="2:5" ht="15" customHeight="1">
      <c r="B7" s="5" t="s">
        <v>246</v>
      </c>
      <c r="C7" s="10">
        <v>-34281668</v>
      </c>
      <c r="D7" s="10">
        <v>-33215108</v>
      </c>
      <c r="E7" s="327">
        <v>3.2000000000000001E-2</v>
      </c>
    </row>
    <row r="8" spans="2:5" ht="15" customHeight="1">
      <c r="B8" s="5" t="s">
        <v>412</v>
      </c>
      <c r="C8" s="10">
        <v>74875013</v>
      </c>
      <c r="D8" s="10">
        <v>146120233</v>
      </c>
      <c r="E8" s="327">
        <v>-0.48799999999999999</v>
      </c>
    </row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2D050"/>
    <pageSetUpPr fitToPage="1"/>
  </sheetPr>
  <dimension ref="A1:H17"/>
  <sheetViews>
    <sheetView showGridLines="0" workbookViewId="0">
      <selection activeCell="D15" sqref="D15"/>
    </sheetView>
  </sheetViews>
  <sheetFormatPr baseColWidth="10" defaultColWidth="0" defaultRowHeight="15" customHeight="1" zeroHeight="1"/>
  <cols>
    <col min="1" max="1" width="8" style="15" bestFit="1" customWidth="1"/>
    <col min="2" max="2" width="35.42578125" style="15" bestFit="1" customWidth="1"/>
    <col min="3" max="3" width="8.5703125" style="15" customWidth="1"/>
    <col min="4" max="5" width="13.5703125" style="15" customWidth="1"/>
    <col min="6" max="6" width="11.42578125" style="15" customWidth="1"/>
    <col min="7" max="8" width="0" style="15" hidden="1" customWidth="1"/>
    <col min="9" max="16384" width="11.42578125" style="15" hidden="1"/>
  </cols>
  <sheetData>
    <row r="1" spans="1:5" ht="15" customHeight="1"/>
    <row r="2" spans="1:5" ht="15" customHeight="1"/>
    <row r="3" spans="1:5" ht="15" customHeight="1" thickBot="1">
      <c r="B3" s="44"/>
      <c r="C3" s="35"/>
      <c r="D3" s="35" t="s">
        <v>361</v>
      </c>
      <c r="E3" s="35" t="s">
        <v>346</v>
      </c>
    </row>
    <row r="4" spans="1:5" ht="15" customHeight="1">
      <c r="B4" s="5" t="s">
        <v>64</v>
      </c>
      <c r="C4" s="4"/>
    </row>
    <row r="5" spans="1:5" ht="15" customHeight="1">
      <c r="A5" s="45"/>
      <c r="B5" s="4" t="s">
        <v>194</v>
      </c>
      <c r="C5" s="36" t="s">
        <v>65</v>
      </c>
      <c r="D5" s="445">
        <v>0.9</v>
      </c>
      <c r="E5" s="445">
        <v>0.76</v>
      </c>
    </row>
    <row r="6" spans="1:5" ht="15" customHeight="1">
      <c r="A6" s="45"/>
      <c r="B6" s="4" t="s">
        <v>182</v>
      </c>
      <c r="C6" s="36" t="s">
        <v>65</v>
      </c>
      <c r="D6" s="445">
        <v>0.3</v>
      </c>
      <c r="E6" s="445">
        <v>0.3</v>
      </c>
    </row>
    <row r="7" spans="1:5" ht="15" customHeight="1">
      <c r="B7" s="5" t="s">
        <v>66</v>
      </c>
      <c r="C7" s="4"/>
      <c r="D7" s="446"/>
      <c r="E7" s="446"/>
    </row>
    <row r="8" spans="1:5" ht="15" customHeight="1">
      <c r="B8" s="4" t="s">
        <v>183</v>
      </c>
      <c r="C8" s="36" t="s">
        <v>65</v>
      </c>
      <c r="D8" s="445">
        <v>1.35</v>
      </c>
      <c r="E8" s="445">
        <v>1.73</v>
      </c>
    </row>
    <row r="9" spans="1:5" ht="15" customHeight="1">
      <c r="A9" s="45"/>
      <c r="B9" s="4" t="s">
        <v>67</v>
      </c>
      <c r="C9" s="36" t="s">
        <v>65</v>
      </c>
      <c r="D9" s="445">
        <v>0.15870000000000001</v>
      </c>
      <c r="E9" s="445">
        <v>0.23530000000000001</v>
      </c>
    </row>
    <row r="10" spans="1:5" ht="15" customHeight="1">
      <c r="A10" s="45"/>
      <c r="B10" s="4" t="s">
        <v>68</v>
      </c>
      <c r="C10" s="36" t="s">
        <v>65</v>
      </c>
      <c r="D10" s="445">
        <v>0.84130000000000005</v>
      </c>
      <c r="E10" s="445">
        <v>0.76470000000000005</v>
      </c>
    </row>
    <row r="11" spans="1:5" ht="15" customHeight="1">
      <c r="A11" s="45"/>
      <c r="B11" s="4" t="s">
        <v>209</v>
      </c>
      <c r="C11" s="36" t="s">
        <v>65</v>
      </c>
      <c r="D11" s="445">
        <v>4.2699999999999996</v>
      </c>
      <c r="E11" s="445">
        <v>4.42</v>
      </c>
    </row>
    <row r="12" spans="1:5" ht="15" customHeight="1">
      <c r="B12" s="5" t="s">
        <v>69</v>
      </c>
      <c r="C12" s="4"/>
      <c r="D12" s="446"/>
      <c r="E12" s="446"/>
    </row>
    <row r="13" spans="1:5" ht="24">
      <c r="A13" s="45"/>
      <c r="B13" s="46" t="s">
        <v>414</v>
      </c>
      <c r="C13" s="36" t="s">
        <v>70</v>
      </c>
      <c r="D13" s="445">
        <v>12.44</v>
      </c>
      <c r="E13" s="445">
        <v>15.47</v>
      </c>
    </row>
    <row r="14" spans="1:5" ht="15" customHeight="1">
      <c r="A14" s="45"/>
      <c r="B14" s="4" t="s">
        <v>210</v>
      </c>
      <c r="C14" s="36" t="s">
        <v>70</v>
      </c>
      <c r="D14" s="445">
        <v>4.99</v>
      </c>
      <c r="E14" s="445">
        <v>5.7299999999999995</v>
      </c>
    </row>
    <row r="15" spans="1:5" ht="15" customHeight="1">
      <c r="A15" s="45"/>
      <c r="B15" s="4" t="s">
        <v>211</v>
      </c>
      <c r="C15" s="36" t="s">
        <v>71</v>
      </c>
      <c r="D15" s="445">
        <v>20.97</v>
      </c>
      <c r="E15" s="445">
        <v>21.8</v>
      </c>
    </row>
    <row r="16" spans="1:5" ht="15" customHeight="1">
      <c r="B16" s="4" t="s">
        <v>198</v>
      </c>
      <c r="C16" s="36" t="s">
        <v>70</v>
      </c>
      <c r="D16" s="445">
        <v>7.5600000000000005</v>
      </c>
      <c r="E16" s="445">
        <v>5.18</v>
      </c>
    </row>
    <row r="17" ht="15" customHeight="1"/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  <pageSetUpPr fitToPage="1"/>
  </sheetPr>
  <dimension ref="A1:V204"/>
  <sheetViews>
    <sheetView showGridLines="0" topLeftCell="E31" zoomScale="80" zoomScaleNormal="80" workbookViewId="0">
      <selection activeCell="O14" sqref="O14"/>
    </sheetView>
  </sheetViews>
  <sheetFormatPr baseColWidth="10" defaultColWidth="11.42578125" defaultRowHeight="15" customHeight="1"/>
  <cols>
    <col min="1" max="1" width="3.85546875" style="116" customWidth="1"/>
    <col min="2" max="2" width="39.85546875" style="116" customWidth="1"/>
    <col min="3" max="3" width="16.42578125" style="116" customWidth="1"/>
    <col min="4" max="4" width="18.85546875" style="116" bestFit="1" customWidth="1"/>
    <col min="5" max="6" width="18.5703125" style="116" bestFit="1" customWidth="1"/>
    <col min="7" max="7" width="17.42578125" style="116" customWidth="1"/>
    <col min="8" max="8" width="31.5703125" style="116" customWidth="1"/>
    <col min="9" max="9" width="7.140625" style="116" customWidth="1"/>
    <col min="10" max="10" width="21" style="116" bestFit="1" customWidth="1"/>
    <col min="11" max="11" width="11.140625" style="116" customWidth="1"/>
    <col min="12" max="12" width="17.85546875" style="116" customWidth="1"/>
    <col min="13" max="13" width="11.140625" style="116" customWidth="1"/>
    <col min="14" max="14" width="1.5703125" style="116" customWidth="1"/>
    <col min="15" max="15" width="10.5703125" style="116" customWidth="1"/>
    <col min="16" max="16" width="11.5703125" style="117" customWidth="1"/>
    <col min="17" max="17" width="13.42578125" style="116" customWidth="1"/>
    <col min="18" max="18" width="11.85546875" style="116" bestFit="1" customWidth="1"/>
    <col min="19" max="16384" width="11.42578125" style="116"/>
  </cols>
  <sheetData>
    <row r="1" spans="2:22" ht="15" customHeight="1">
      <c r="B1" s="115" t="s">
        <v>176</v>
      </c>
    </row>
    <row r="2" spans="2:22" ht="15" customHeight="1">
      <c r="B2" s="115" t="s">
        <v>175</v>
      </c>
      <c r="K2" s="120"/>
      <c r="T2" s="118"/>
    </row>
    <row r="3" spans="2:22" ht="15" customHeight="1" thickBot="1">
      <c r="H3" s="119" t="s">
        <v>4</v>
      </c>
      <c r="J3" s="120"/>
      <c r="K3" s="120"/>
      <c r="L3" s="120"/>
      <c r="R3" s="121"/>
    </row>
    <row r="4" spans="2:22" ht="15" customHeight="1" thickBot="1">
      <c r="B4" s="122" t="s">
        <v>6</v>
      </c>
      <c r="C4" s="123"/>
      <c r="D4" s="124" t="s">
        <v>367</v>
      </c>
      <c r="E4" s="124" t="s">
        <v>330</v>
      </c>
      <c r="F4" s="124" t="s">
        <v>304</v>
      </c>
      <c r="H4" s="115" t="s">
        <v>5</v>
      </c>
      <c r="J4" s="125" t="str">
        <f>+D4</f>
        <v>Sep-24</v>
      </c>
      <c r="L4" s="125" t="str">
        <f>+E4</f>
        <v>Dec-23</v>
      </c>
      <c r="O4" s="126"/>
      <c r="R4" s="127"/>
      <c r="S4" s="127"/>
      <c r="T4" s="128"/>
      <c r="U4" s="127"/>
      <c r="V4" s="127"/>
    </row>
    <row r="5" spans="2:22" ht="15" customHeight="1" thickBot="1">
      <c r="B5" s="129"/>
      <c r="C5" s="130"/>
      <c r="D5" s="130"/>
      <c r="E5" s="131"/>
      <c r="F5" s="132"/>
      <c r="H5" s="133" t="s">
        <v>7</v>
      </c>
      <c r="J5" s="120"/>
      <c r="K5" s="120"/>
      <c r="M5" s="120"/>
      <c r="P5" s="134"/>
    </row>
    <row r="6" spans="2:22" ht="15" customHeight="1">
      <c r="B6" s="135" t="s">
        <v>47</v>
      </c>
      <c r="C6" s="136" t="s">
        <v>8</v>
      </c>
      <c r="D6" s="137" t="e">
        <f>+ [10]Balance!D15</f>
        <v>#REF!</v>
      </c>
      <c r="E6" s="138" t="e">
        <f>+ [10]Balance!E15</f>
        <v>#REF!</v>
      </c>
      <c r="F6" s="139" t="e">
        <f>+#REF! [11]Calculations!$E$6</f>
        <v>#REF!</v>
      </c>
      <c r="H6" s="115" t="s">
        <v>9</v>
      </c>
      <c r="J6" s="120"/>
      <c r="K6" s="120"/>
      <c r="M6" s="120"/>
      <c r="O6" s="140"/>
    </row>
    <row r="7" spans="2:22" ht="15" customHeight="1">
      <c r="B7" s="135" t="s">
        <v>48</v>
      </c>
      <c r="C7" s="136" t="s">
        <v>8</v>
      </c>
      <c r="D7" s="137" t="e">
        <f>+ [10]Balance!D26</f>
        <v>#REF!</v>
      </c>
      <c r="E7" s="138" t="e">
        <f>+ [10]Balance!E26</f>
        <v>#REF!</v>
      </c>
      <c r="F7" s="139" t="e">
        <f>+#REF! [11]Calculations!$E$7</f>
        <v>#REF!</v>
      </c>
      <c r="H7" s="141" t="s">
        <v>45</v>
      </c>
      <c r="I7" s="116" t="s">
        <v>10</v>
      </c>
      <c r="J7" s="142" t="e">
        <f>+D6</f>
        <v>#REF!</v>
      </c>
      <c r="K7" s="143" t="e">
        <f>ROUND(J7/J8,2)</f>
        <v>#REF!</v>
      </c>
      <c r="L7" s="142" t="e">
        <f>+E6</f>
        <v>#REF!</v>
      </c>
      <c r="M7" s="143" t="e">
        <f>ROUND(L7/L8,2)</f>
        <v>#REF!</v>
      </c>
      <c r="N7" s="144"/>
      <c r="O7" s="145" t="e">
        <f>ROUND((K7/M7)-1,3)</f>
        <v>#REF!</v>
      </c>
      <c r="P7" s="146" t="e">
        <f>ROUND((J7/L7)-1,3)</f>
        <v>#REF!</v>
      </c>
      <c r="Q7" s="120" t="e">
        <f>+J7-L7</f>
        <v>#REF!</v>
      </c>
    </row>
    <row r="8" spans="2:22" ht="15" customHeight="1">
      <c r="B8" s="147" t="s">
        <v>11</v>
      </c>
      <c r="C8" s="148"/>
      <c r="D8" s="149" t="e">
        <f>SUM(D6:D7)</f>
        <v>#REF!</v>
      </c>
      <c r="E8" s="150" t="e">
        <f>SUM(E6:E7)</f>
        <v>#REF!</v>
      </c>
      <c r="F8" s="151" t="e">
        <f>SUM(F6:F7)</f>
        <v>#REF!</v>
      </c>
      <c r="H8" s="116" t="s">
        <v>46</v>
      </c>
      <c r="J8" s="120" t="e">
        <f>+D10</f>
        <v>#REF!</v>
      </c>
      <c r="K8" s="120"/>
      <c r="L8" s="120" t="e">
        <f>+E10</f>
        <v>#REF!</v>
      </c>
      <c r="M8" s="120"/>
      <c r="O8" s="152"/>
      <c r="P8" s="146" t="e">
        <f>ROUND((J8/L8)-1,3)</f>
        <v>#REF!</v>
      </c>
      <c r="Q8" s="120" t="e">
        <f>+J8-L8</f>
        <v>#REF!</v>
      </c>
    </row>
    <row r="9" spans="2:22" ht="15" customHeight="1">
      <c r="B9" s="135"/>
      <c r="C9" s="130"/>
      <c r="D9" s="137"/>
      <c r="E9" s="138"/>
      <c r="F9" s="139"/>
      <c r="H9" s="115" t="s">
        <v>12</v>
      </c>
      <c r="J9" s="120"/>
      <c r="K9" s="120"/>
      <c r="L9" s="120"/>
      <c r="M9" s="120"/>
      <c r="O9" s="153"/>
    </row>
    <row r="10" spans="2:22" ht="15" customHeight="1">
      <c r="B10" s="135" t="s">
        <v>50</v>
      </c>
      <c r="C10" s="136" t="s">
        <v>8</v>
      </c>
      <c r="D10" s="137" t="e">
        <f>+ [10]Balance!D44</f>
        <v>#REF!</v>
      </c>
      <c r="E10" s="138" t="e">
        <f>+ [10]Balance!E44</f>
        <v>#REF!</v>
      </c>
      <c r="F10" s="139" t="e">
        <f>+#REF! [11]Calculations!$E$10</f>
        <v>#REF!</v>
      </c>
      <c r="H10" s="141" t="s">
        <v>55</v>
      </c>
      <c r="I10" s="116" t="s">
        <v>10</v>
      </c>
      <c r="J10" s="142" t="e">
        <f>+D33</f>
        <v>#REF!</v>
      </c>
      <c r="K10" s="143" t="e">
        <f>ROUND(J10/J11,2)</f>
        <v>#REF!</v>
      </c>
      <c r="L10" s="142" t="e">
        <f>+ [10]Balance!E6</f>
        <v>#REF!</v>
      </c>
      <c r="M10" s="143" t="e">
        <f>ROUND(L10/L11,2)</f>
        <v>#REF!</v>
      </c>
      <c r="N10" s="144"/>
      <c r="O10" s="145" t="e">
        <f>ROUND((K10/M10)-1,4)</f>
        <v>#REF!</v>
      </c>
      <c r="P10" s="146" t="e">
        <f>ROUND((J10/L10)-1,3)</f>
        <v>#REF!</v>
      </c>
      <c r="Q10" s="120" t="e">
        <f>+J10-L10</f>
        <v>#REF!</v>
      </c>
      <c r="R10" s="154"/>
    </row>
    <row r="11" spans="2:22" ht="15" customHeight="1" thickBot="1">
      <c r="B11" s="135" t="s">
        <v>49</v>
      </c>
      <c r="C11" s="136" t="s">
        <v>8</v>
      </c>
      <c r="D11" s="137" t="e">
        <f>+ [10]Balance!D54</f>
        <v>#REF!</v>
      </c>
      <c r="E11" s="138" t="e">
        <f>+ [10]Balance!E54</f>
        <v>#REF!</v>
      </c>
      <c r="F11" s="139" t="e">
        <f>+#REF! [11]Calculations!$E$11</f>
        <v>#REF!</v>
      </c>
      <c r="H11" s="116" t="s">
        <v>46</v>
      </c>
      <c r="J11" s="120" t="e">
        <f>+D10</f>
        <v>#REF!</v>
      </c>
      <c r="K11" s="120"/>
      <c r="L11" s="120" t="e">
        <f>+E10</f>
        <v>#REF!</v>
      </c>
      <c r="M11" s="120"/>
      <c r="O11" s="152"/>
      <c r="P11" s="146" t="e">
        <f>ROUND((J11/L11)-1,3)</f>
        <v>#REF!</v>
      </c>
      <c r="Q11" s="120" t="e">
        <f>+J11-L11</f>
        <v>#REF!</v>
      </c>
    </row>
    <row r="12" spans="2:22" ht="15" customHeight="1" thickBot="1">
      <c r="B12" s="135" t="s">
        <v>51</v>
      </c>
      <c r="C12" s="136" t="s">
        <v>8</v>
      </c>
      <c r="D12" s="137" t="e">
        <f>+ [10]Balance!D64</f>
        <v>#REF!</v>
      </c>
      <c r="E12" s="138" t="e">
        <f>+ [10]Balance!E64</f>
        <v>#REF!</v>
      </c>
      <c r="F12" s="139" t="e">
        <f>+#REF! [11]Calculations!$E$12</f>
        <v>#REF!</v>
      </c>
      <c r="H12" s="133" t="s">
        <v>13</v>
      </c>
      <c r="J12" s="120"/>
      <c r="K12" s="120"/>
      <c r="L12" s="120"/>
      <c r="M12" s="120"/>
      <c r="O12" s="152"/>
    </row>
    <row r="13" spans="2:22" ht="15" customHeight="1">
      <c r="B13" s="135" t="s">
        <v>97</v>
      </c>
      <c r="C13" s="136" t="s">
        <v>8</v>
      </c>
      <c r="D13" s="137" t="e">
        <f>+ [10]Balance!D63</f>
        <v>#REF!</v>
      </c>
      <c r="E13" s="138" t="e">
        <f>+ [10]Balance!E63</f>
        <v>#REF!</v>
      </c>
      <c r="F13" s="139" t="e">
        <f>+#REF! [11]Calculations!$E$13</f>
        <v>#REF!</v>
      </c>
      <c r="H13" s="115" t="s">
        <v>14</v>
      </c>
      <c r="J13" s="120"/>
      <c r="K13" s="120"/>
      <c r="L13" s="120"/>
      <c r="M13" s="120"/>
      <c r="O13" s="152"/>
    </row>
    <row r="14" spans="2:22" ht="15" customHeight="1" thickBot="1">
      <c r="B14" s="155" t="s">
        <v>11</v>
      </c>
      <c r="C14" s="156"/>
      <c r="D14" s="157" t="e">
        <f>SUM(D10:D13)</f>
        <v>#REF!</v>
      </c>
      <c r="E14" s="158" t="e">
        <f>SUM(E10:E13)</f>
        <v>#REF!</v>
      </c>
      <c r="F14" s="159" t="e">
        <f>SUM(F10:F13)</f>
        <v>#REF!</v>
      </c>
      <c r="H14" s="141" t="s">
        <v>15</v>
      </c>
      <c r="I14" s="116" t="s">
        <v>10</v>
      </c>
      <c r="J14" s="142" t="e">
        <f>+D10+D11</f>
        <v>#REF!</v>
      </c>
      <c r="K14" s="160" t="e">
        <f>ROUND(J14/J15,2)</f>
        <v>#REF!</v>
      </c>
      <c r="L14" s="142" t="e">
        <f>+E10+E11</f>
        <v>#REF!</v>
      </c>
      <c r="M14" s="160" t="e">
        <f>ROUND(L14/L15,2)</f>
        <v>#REF!</v>
      </c>
      <c r="N14" s="161"/>
      <c r="O14" s="145" t="e">
        <f>ROUND((K14/M14)-1,4)</f>
        <v>#REF!</v>
      </c>
      <c r="P14" s="146" t="e">
        <f>ROUND((J14/L14)-1,3)</f>
        <v>#REF!</v>
      </c>
      <c r="Q14" s="120" t="e">
        <f>+J14-L14</f>
        <v>#REF!</v>
      </c>
    </row>
    <row r="15" spans="2:22" ht="15" customHeight="1" thickBot="1">
      <c r="B15" s="162"/>
      <c r="D15" s="163" t="e">
        <f>+D8-D14</f>
        <v>#REF!</v>
      </c>
      <c r="E15" s="163" t="e">
        <f t="shared" ref="E15:F15" si="0">+E8-E14</f>
        <v>#REF!</v>
      </c>
      <c r="F15" s="163" t="e">
        <f t="shared" si="0"/>
        <v>#REF!</v>
      </c>
      <c r="H15" s="116" t="s">
        <v>95</v>
      </c>
      <c r="J15" s="120" t="e">
        <f>+D13+D12</f>
        <v>#REF!</v>
      </c>
      <c r="K15" s="120"/>
      <c r="L15" s="120" t="e">
        <f>+E13+E12</f>
        <v>#REF!</v>
      </c>
      <c r="M15" s="120"/>
      <c r="O15" s="152"/>
      <c r="P15" s="146" t="e">
        <f>ROUND((J15/L15)-1,3)</f>
        <v>#REF!</v>
      </c>
      <c r="Q15" s="120" t="e">
        <f>+J15-L15</f>
        <v>#REF!</v>
      </c>
    </row>
    <row r="16" spans="2:22" ht="15" customHeight="1">
      <c r="B16" s="122" t="s">
        <v>16</v>
      </c>
      <c r="C16" s="123"/>
      <c r="D16" s="164" t="str">
        <f>+$D$4</f>
        <v>Sep-24</v>
      </c>
      <c r="E16" s="164" t="s">
        <v>368</v>
      </c>
      <c r="F16" s="164" t="s">
        <v>330</v>
      </c>
      <c r="H16" s="115" t="s">
        <v>17</v>
      </c>
      <c r="J16" s="120"/>
      <c r="K16" s="120"/>
      <c r="L16" s="120"/>
      <c r="M16" s="120"/>
      <c r="O16" s="140"/>
    </row>
    <row r="17" spans="1:20" ht="15" customHeight="1">
      <c r="B17" s="129"/>
      <c r="C17" s="165"/>
      <c r="D17" s="166"/>
      <c r="E17" s="166"/>
      <c r="F17" s="167"/>
      <c r="H17" s="168" t="s">
        <v>46</v>
      </c>
      <c r="I17" s="116" t="s">
        <v>10</v>
      </c>
      <c r="J17" s="142" t="e">
        <f>+D10</f>
        <v>#REF!</v>
      </c>
      <c r="K17" s="160" t="e">
        <f>ROUND(J17/J18,4)</f>
        <v>#REF!</v>
      </c>
      <c r="L17" s="142" t="e">
        <f>+E10</f>
        <v>#REF!</v>
      </c>
      <c r="M17" s="160" t="e">
        <f>ROUND(L17/L18,4)</f>
        <v>#REF!</v>
      </c>
      <c r="N17" s="161"/>
      <c r="O17" s="145" t="e">
        <f>ROUND((K17/M17)-1,4)</f>
        <v>#REF!</v>
      </c>
      <c r="P17" s="146" t="e">
        <f>ROUND((J17/L17)-1,3)</f>
        <v>#REF!</v>
      </c>
      <c r="Q17" s="120" t="e">
        <f>+J17-L17</f>
        <v>#REF!</v>
      </c>
      <c r="R17" s="145"/>
    </row>
    <row r="18" spans="1:20" ht="15" customHeight="1">
      <c r="B18" s="135" t="s">
        <v>59</v>
      </c>
      <c r="C18" s="136" t="s">
        <v>8</v>
      </c>
      <c r="D18" s="166" t="e">
        <f>+C50</f>
        <v>#REF!</v>
      </c>
      <c r="E18" s="166" t="e">
        <f>+D50</f>
        <v>#REF!</v>
      </c>
      <c r="F18" s="167" t="e">
        <f>+E50</f>
        <v>#REF!</v>
      </c>
      <c r="H18" s="116" t="s">
        <v>18</v>
      </c>
      <c r="J18" s="120" t="e">
        <f>+D10+D11</f>
        <v>#REF!</v>
      </c>
      <c r="K18" s="120"/>
      <c r="L18" s="120" t="e">
        <f>+E10+E11</f>
        <v>#REF!</v>
      </c>
      <c r="M18" s="120"/>
      <c r="O18" s="152"/>
      <c r="P18" s="146" t="e">
        <f>ROUND((J18/L18)-1,3)</f>
        <v>#REF!</v>
      </c>
      <c r="Q18" s="120" t="e">
        <f>+J18-L18</f>
        <v>#REF!</v>
      </c>
    </row>
    <row r="19" spans="1:20" ht="15" customHeight="1">
      <c r="B19" s="135" t="s">
        <v>60</v>
      </c>
      <c r="C19" s="136" t="s">
        <v>8</v>
      </c>
      <c r="D19" s="166" t="e">
        <f>-C51-C53-C54-C55-C52</f>
        <v>#REF!</v>
      </c>
      <c r="E19" s="166" t="e">
        <f>-D51-D53-D54-D55-D52</f>
        <v>#REF!</v>
      </c>
      <c r="F19" s="167" t="e">
        <f>-E51-E53-E54-E55-E52</f>
        <v>#REF!</v>
      </c>
      <c r="H19" s="115" t="s">
        <v>19</v>
      </c>
      <c r="J19" s="120"/>
      <c r="K19" s="120"/>
      <c r="L19" s="120"/>
      <c r="M19" s="120"/>
      <c r="O19" s="140"/>
      <c r="P19" s="169"/>
      <c r="Q19" s="120"/>
      <c r="R19" s="152"/>
      <c r="T19" s="120"/>
    </row>
    <row r="20" spans="1:20" ht="15" customHeight="1">
      <c r="B20" s="129" t="s">
        <v>75</v>
      </c>
      <c r="C20" s="165" t="s">
        <v>8</v>
      </c>
      <c r="D20" s="170" t="e">
        <f>+C64</f>
        <v>#REF!</v>
      </c>
      <c r="E20" s="170" t="e">
        <f>+D64</f>
        <v>#REF!</v>
      </c>
      <c r="F20" s="171" t="e">
        <f>+E64</f>
        <v>#REF!</v>
      </c>
      <c r="H20" s="168" t="s">
        <v>56</v>
      </c>
      <c r="I20" s="116" t="s">
        <v>10</v>
      </c>
      <c r="J20" s="142" t="e">
        <f>+D11</f>
        <v>#REF!</v>
      </c>
      <c r="K20" s="160" t="e">
        <f>ROUND(J20/J21,4)</f>
        <v>#REF!</v>
      </c>
      <c r="L20" s="142" t="e">
        <f>+E11</f>
        <v>#REF!</v>
      </c>
      <c r="M20" s="160" t="e">
        <f>ROUND(L20/L21,4)</f>
        <v>#REF!</v>
      </c>
      <c r="N20" s="161"/>
      <c r="O20" s="145" t="e">
        <f>ROUND((K20/M20)-1,4)</f>
        <v>#REF!</v>
      </c>
      <c r="P20" s="146" t="e">
        <f>ROUND((J20/L20)-1,3)</f>
        <v>#REF!</v>
      </c>
      <c r="Q20" s="120" t="e">
        <f>+J20-L20</f>
        <v>#REF!</v>
      </c>
      <c r="R20" s="152"/>
      <c r="T20" s="120"/>
    </row>
    <row r="21" spans="1:20" ht="15" customHeight="1">
      <c r="B21" s="135" t="s">
        <v>22</v>
      </c>
      <c r="C21" s="136" t="s">
        <v>8</v>
      </c>
      <c r="D21" s="166" t="e">
        <f>+C58</f>
        <v>#REF!</v>
      </c>
      <c r="E21" s="166" t="e">
        <f>+D58</f>
        <v>#REF!</v>
      </c>
      <c r="F21" s="167" t="e">
        <f>+E58</f>
        <v>#REF!</v>
      </c>
      <c r="H21" s="116" t="s">
        <v>18</v>
      </c>
      <c r="J21" s="120" t="e">
        <f>+J18</f>
        <v>#REF!</v>
      </c>
      <c r="K21" s="120" t="s">
        <v>4</v>
      </c>
      <c r="L21" s="120" t="e">
        <f>+L18</f>
        <v>#REF!</v>
      </c>
      <c r="M21" s="120" t="s">
        <v>4</v>
      </c>
      <c r="O21" s="152"/>
      <c r="P21" s="146" t="e">
        <f>ROUND((J21/L21)-1,3)</f>
        <v>#REF!</v>
      </c>
      <c r="Q21" s="120" t="e">
        <f>+J21-L21</f>
        <v>#REF!</v>
      </c>
      <c r="T21" s="120"/>
    </row>
    <row r="22" spans="1:20" ht="15" customHeight="1">
      <c r="B22" s="135" t="s">
        <v>24</v>
      </c>
      <c r="C22" s="136" t="s">
        <v>8</v>
      </c>
      <c r="D22" s="166" t="e">
        <f>+J32</f>
        <v>#REF!</v>
      </c>
      <c r="E22" s="166" t="e">
        <f>+L32</f>
        <v>#REF!</v>
      </c>
      <c r="F22" s="167" t="e">
        <f>+M32</f>
        <v>#REF!</v>
      </c>
      <c r="H22" s="115" t="s">
        <v>20</v>
      </c>
      <c r="J22" s="120"/>
      <c r="K22" s="120"/>
      <c r="L22" s="120"/>
      <c r="M22" s="120"/>
      <c r="O22" s="152"/>
      <c r="P22" s="172"/>
    </row>
    <row r="23" spans="1:20" ht="15" customHeight="1">
      <c r="B23" s="135" t="s">
        <v>25</v>
      </c>
      <c r="C23" s="136" t="s">
        <v>8</v>
      </c>
      <c r="D23" s="166" t="e">
        <f>+C69</f>
        <v>#REF!</v>
      </c>
      <c r="E23" s="166" t="e">
        <f>+D69</f>
        <v>#REF!</v>
      </c>
      <c r="F23" s="167" t="e">
        <f>+E69</f>
        <v>#REF!</v>
      </c>
      <c r="H23" s="141" t="s">
        <v>21</v>
      </c>
      <c r="J23" s="369" t="e">
        <f>[12]Annualized!C13</f>
        <v>#REF!</v>
      </c>
      <c r="K23" s="143" t="e">
        <f>ROUND(J23/J24,2)</f>
        <v>#REF!</v>
      </c>
      <c r="L23" s="142" t="e">
        <f>+F20-F21</f>
        <v>#REF!</v>
      </c>
      <c r="M23" s="143" t="e">
        <f>ROUND(L23/L24,2)</f>
        <v>#REF!</v>
      </c>
      <c r="N23" s="173"/>
      <c r="O23" s="145" t="e">
        <f>ROUND((K23/M23)-1,4)</f>
        <v>#REF!</v>
      </c>
      <c r="P23" s="146" t="e">
        <f>ROUND((J23/L23)-1,3)</f>
        <v>#REF!</v>
      </c>
      <c r="Q23" s="120" t="e">
        <f>+J23-L23</f>
        <v>#REF!</v>
      </c>
    </row>
    <row r="24" spans="1:20" ht="15" customHeight="1" thickBot="1">
      <c r="B24" s="135" t="s">
        <v>26</v>
      </c>
      <c r="C24" s="136" t="s">
        <v>8</v>
      </c>
      <c r="D24" s="166" t="e">
        <f>+C65</f>
        <v>#REF!</v>
      </c>
      <c r="E24" s="166" t="e">
        <f>+D65</f>
        <v>#REF!</v>
      </c>
      <c r="F24" s="167" t="e">
        <f>+E65</f>
        <v>#REF!</v>
      </c>
      <c r="H24" s="116" t="s">
        <v>23</v>
      </c>
      <c r="J24" s="120" t="e">
        <f>[12]Annualized!C20</f>
        <v>#REF!</v>
      </c>
      <c r="K24" s="174"/>
      <c r="L24" s="120" t="e">
        <f>-E58</f>
        <v>#REF!</v>
      </c>
      <c r="M24" s="174"/>
      <c r="O24" s="120"/>
      <c r="P24" s="175" t="e">
        <f>ROUND((J24/L24)-1,3)</f>
        <v>#REF!</v>
      </c>
      <c r="Q24" s="120" t="e">
        <f>+J24-L24</f>
        <v>#REF!</v>
      </c>
      <c r="T24" s="161"/>
    </row>
    <row r="25" spans="1:20" ht="15" customHeight="1" thickBot="1">
      <c r="B25" s="176" t="s">
        <v>61</v>
      </c>
      <c r="C25" s="177" t="s">
        <v>8</v>
      </c>
      <c r="D25" s="178" t="e">
        <f>+C53</f>
        <v>#REF!</v>
      </c>
      <c r="E25" s="178" t="e">
        <f>+D53</f>
        <v>#REF!</v>
      </c>
      <c r="F25" s="179" t="e">
        <f>+E53</f>
        <v>#REF!</v>
      </c>
      <c r="H25" s="180" t="s">
        <v>27</v>
      </c>
      <c r="I25" s="181"/>
      <c r="J25" s="182"/>
      <c r="K25" s="182"/>
      <c r="L25" s="182"/>
      <c r="M25" s="182"/>
      <c r="N25" s="181"/>
      <c r="O25" s="183"/>
      <c r="P25" s="181"/>
    </row>
    <row r="26" spans="1:20" ht="15" customHeight="1" thickBot="1">
      <c r="C26" s="127"/>
      <c r="D26" s="184"/>
      <c r="E26" s="185"/>
      <c r="F26" s="184"/>
      <c r="H26" s="181" t="s">
        <v>57</v>
      </c>
      <c r="I26" s="181" t="s">
        <v>10</v>
      </c>
      <c r="J26" s="186" t="e">
        <f>+D23</f>
        <v>#REF!</v>
      </c>
      <c r="K26" s="182"/>
      <c r="L26" s="186" t="e">
        <f>+F23</f>
        <v>#REF!</v>
      </c>
      <c r="M26" s="182"/>
      <c r="N26" s="181"/>
      <c r="O26" s="183"/>
      <c r="P26" s="181">
        <v>1000</v>
      </c>
      <c r="R26" s="152"/>
    </row>
    <row r="27" spans="1:20" ht="15" customHeight="1">
      <c r="A27" s="187"/>
      <c r="B27" s="122" t="s">
        <v>74</v>
      </c>
      <c r="C27" s="123"/>
      <c r="D27" s="164" t="str">
        <f>+$D$4</f>
        <v>Sep-24</v>
      </c>
      <c r="E27" s="164" t="str">
        <f>+E16</f>
        <v>Sep-23</v>
      </c>
      <c r="F27" s="164" t="str">
        <f>+F16</f>
        <v>Dec-23</v>
      </c>
      <c r="H27" s="181" t="s">
        <v>29</v>
      </c>
      <c r="I27" s="181" t="s">
        <v>10</v>
      </c>
      <c r="J27" s="186" t="e">
        <f>-D24</f>
        <v>#REF!</v>
      </c>
      <c r="K27" s="182"/>
      <c r="L27" s="186" t="e">
        <f>-F24</f>
        <v>#REF!</v>
      </c>
      <c r="M27" s="182"/>
      <c r="N27" s="181"/>
      <c r="O27" s="183"/>
      <c r="P27" s="181"/>
      <c r="Q27" s="161"/>
      <c r="R27" s="152"/>
      <c r="T27" s="161"/>
    </row>
    <row r="28" spans="1:20" ht="15" customHeight="1">
      <c r="B28" s="135" t="s">
        <v>52</v>
      </c>
      <c r="C28" s="136" t="s">
        <v>8</v>
      </c>
      <c r="D28" s="188" t="e">
        <f>+ [13]Flow!D23</f>
        <v>#REF!</v>
      </c>
      <c r="E28" s="188" t="e">
        <f>+ [13]Flow!E23</f>
        <v>#REF!</v>
      </c>
      <c r="F28" s="189" t="e">
        <f>+#REF! [11]Calculations!$D$28</f>
        <v>#REF!</v>
      </c>
      <c r="H28" s="181" t="s">
        <v>30</v>
      </c>
      <c r="I28" s="181" t="s">
        <v>10</v>
      </c>
      <c r="J28" s="186" t="e">
        <f>-D21</f>
        <v>#REF!</v>
      </c>
      <c r="K28" s="182"/>
      <c r="L28" s="186" t="e">
        <f>-F21</f>
        <v>#REF!</v>
      </c>
      <c r="M28" s="182"/>
      <c r="N28" s="182"/>
      <c r="O28" s="183"/>
      <c r="P28" s="182"/>
      <c r="Q28" s="120"/>
      <c r="R28" s="152"/>
      <c r="T28" s="120"/>
    </row>
    <row r="29" spans="1:20" ht="15" customHeight="1">
      <c r="A29" s="190"/>
      <c r="B29" s="135" t="s">
        <v>53</v>
      </c>
      <c r="C29" s="136" t="s">
        <v>8</v>
      </c>
      <c r="D29" s="188" t="e">
        <f>+ [13]Flow!D48</f>
        <v>#REF!</v>
      </c>
      <c r="E29" s="188" t="e">
        <f>+ [13]Flow!E48</f>
        <v>#REF!</v>
      </c>
      <c r="F29" s="189" t="e">
        <f>+#REF! [11]Calculations!$D$29</f>
        <v>#REF!</v>
      </c>
      <c r="H29" s="181" t="s">
        <v>62</v>
      </c>
      <c r="I29" s="181" t="s">
        <v>10</v>
      </c>
      <c r="J29" s="186" t="e">
        <f>-D25</f>
        <v>#REF!</v>
      </c>
      <c r="K29" s="182"/>
      <c r="L29" s="186" t="e">
        <f>-F25</f>
        <v>#REF!</v>
      </c>
      <c r="M29" s="182"/>
      <c r="N29" s="181"/>
      <c r="O29" s="183"/>
      <c r="P29" s="181"/>
      <c r="R29" s="152"/>
    </row>
    <row r="30" spans="1:20" ht="15" customHeight="1">
      <c r="A30" s="191"/>
      <c r="B30" s="135" t="s">
        <v>54</v>
      </c>
      <c r="C30" s="136" t="s">
        <v>8</v>
      </c>
      <c r="D30" s="188" t="e">
        <f>+ [13]Flow!D65</f>
        <v>#REF!</v>
      </c>
      <c r="E30" s="188" t="e">
        <f>+ [13]Flow!E65</f>
        <v>#REF!</v>
      </c>
      <c r="F30" s="189" t="e">
        <f>+#REF! [11]Calculations!$D$30</f>
        <v>#REF!</v>
      </c>
      <c r="H30" s="181" t="s">
        <v>63</v>
      </c>
      <c r="I30" s="181" t="s">
        <v>10</v>
      </c>
      <c r="J30" s="186" t="e">
        <f>-C67</f>
        <v>#REF!</v>
      </c>
      <c r="K30" s="181"/>
      <c r="L30" s="186" t="e">
        <f>-E67</f>
        <v>#REF!</v>
      </c>
      <c r="M30" s="181"/>
      <c r="N30" s="181"/>
      <c r="O30" s="183"/>
      <c r="P30" s="181"/>
      <c r="Q30" s="192"/>
      <c r="R30" s="152"/>
      <c r="T30" s="192"/>
    </row>
    <row r="31" spans="1:20" ht="15" customHeight="1">
      <c r="A31" s="191"/>
      <c r="B31" s="129" t="s">
        <v>28</v>
      </c>
      <c r="C31" s="136" t="s">
        <v>8</v>
      </c>
      <c r="D31" s="193" t="e">
        <f>SUM(D28:D30)</f>
        <v>#REF!</v>
      </c>
      <c r="E31" s="193" t="e">
        <f>SUM(E28:E30)</f>
        <v>#REF!</v>
      </c>
      <c r="F31" s="194" t="e">
        <f>SUM(F28:F30)</f>
        <v>#REF!</v>
      </c>
      <c r="H31" s="181" t="s">
        <v>33</v>
      </c>
      <c r="I31" s="181" t="s">
        <v>10</v>
      </c>
      <c r="J31" s="186">
        <v>0</v>
      </c>
      <c r="K31" s="182"/>
      <c r="L31" s="186">
        <v>0</v>
      </c>
      <c r="M31" s="182"/>
      <c r="N31" s="181"/>
      <c r="O31" s="183"/>
      <c r="P31" s="181"/>
      <c r="R31" s="152"/>
    </row>
    <row r="32" spans="1:20" ht="15" customHeight="1">
      <c r="A32" s="191"/>
      <c r="B32" s="135" t="s">
        <v>31</v>
      </c>
      <c r="C32" s="136" t="s">
        <v>8</v>
      </c>
      <c r="D32" s="188" t="e">
        <f>+ [13]Flow!D70</f>
        <v>#REF!</v>
      </c>
      <c r="E32" s="188" t="e">
        <f>+ [13]Flow!E70</f>
        <v>#REF!</v>
      </c>
      <c r="F32" s="189" t="e">
        <f>+#REF! [11]Calculations!$D$32</f>
        <v>#REF!</v>
      </c>
      <c r="H32" s="195" t="s">
        <v>24</v>
      </c>
      <c r="I32" s="181"/>
      <c r="J32" s="196" t="e">
        <f>SUM(J26:J31)</f>
        <v>#REF!</v>
      </c>
      <c r="K32" s="182"/>
      <c r="L32" s="196" t="e">
        <f>SUM(L26:L31)</f>
        <v>#REF!</v>
      </c>
      <c r="M32" s="197" t="e">
        <f>ROUND((J32/L32)-1,4)</f>
        <v>#REF!</v>
      </c>
      <c r="N32" s="182"/>
      <c r="O32" s="198"/>
      <c r="P32" s="181"/>
      <c r="R32" s="152"/>
    </row>
    <row r="33" spans="2:20" ht="15" customHeight="1" thickBot="1">
      <c r="B33" s="155" t="s">
        <v>32</v>
      </c>
      <c r="C33" s="199" t="s">
        <v>8</v>
      </c>
      <c r="D33" s="200" t="e">
        <f>+D32+D31</f>
        <v>#REF!</v>
      </c>
      <c r="E33" s="200" t="e">
        <f>+E32+E31</f>
        <v>#REF!</v>
      </c>
      <c r="F33" s="201" t="e">
        <f>+F32+F31</f>
        <v>#REF!</v>
      </c>
      <c r="H33" s="195"/>
      <c r="I33" s="181"/>
      <c r="J33" s="182"/>
      <c r="K33" s="182"/>
      <c r="L33" s="182"/>
      <c r="M33" s="182"/>
      <c r="N33" s="182"/>
      <c r="O33" s="183"/>
      <c r="P33" s="181"/>
      <c r="Q33" s="202"/>
      <c r="R33" s="152"/>
      <c r="T33" s="202"/>
    </row>
    <row r="34" spans="2:20" ht="15" customHeight="1" thickBot="1">
      <c r="D34" s="417" t="e">
        <f>+D33- [10]Balance!D6</f>
        <v>#REF!</v>
      </c>
      <c r="E34" s="1"/>
      <c r="F34" s="417" t="e">
        <f>+F33- [10]Balance!E6</f>
        <v>#REF!</v>
      </c>
      <c r="H34" s="195"/>
      <c r="I34" s="181"/>
      <c r="J34" s="182"/>
      <c r="K34" s="203"/>
      <c r="L34" s="182"/>
      <c r="M34" s="203"/>
      <c r="N34" s="182"/>
      <c r="O34" s="198"/>
      <c r="P34" s="204"/>
      <c r="Q34" s="120"/>
      <c r="R34" s="152"/>
      <c r="T34" s="120"/>
    </row>
    <row r="35" spans="2:20" ht="15" customHeight="1">
      <c r="B35" s="205" t="s">
        <v>97</v>
      </c>
      <c r="C35" s="305" t="s">
        <v>353</v>
      </c>
      <c r="D35" s="206" t="e">
        <f>+ [10]Balance!D63</f>
        <v>#REF!</v>
      </c>
      <c r="E35" s="152"/>
      <c r="F35" s="152"/>
      <c r="H35" s="195" t="s">
        <v>58</v>
      </c>
      <c r="I35" s="181"/>
      <c r="J35" s="182" t="e">
        <f>+D18</f>
        <v>#REF!</v>
      </c>
      <c r="K35" s="182"/>
      <c r="L35" s="182" t="e">
        <f>+E18</f>
        <v>#REF!</v>
      </c>
      <c r="M35" s="182"/>
      <c r="N35" s="182"/>
      <c r="O35" s="181"/>
      <c r="P35" s="204" t="e">
        <f>ROUND((J35/L35)-1,4)</f>
        <v>#REF!</v>
      </c>
      <c r="R35" s="152"/>
    </row>
    <row r="36" spans="2:20" ht="15" customHeight="1" thickBot="1">
      <c r="B36" s="207" t="s">
        <v>268</v>
      </c>
      <c r="C36" s="416" t="str">
        <f>+C35</f>
        <v>06-30-2024</v>
      </c>
      <c r="D36" s="209" t="e">
        <f>+ [10]Balance!D28</f>
        <v>#REF!</v>
      </c>
      <c r="E36" s="152"/>
      <c r="F36" s="152"/>
      <c r="H36" s="115"/>
      <c r="J36" s="210"/>
      <c r="K36" s="120"/>
      <c r="L36" s="210"/>
      <c r="M36" s="120"/>
      <c r="N36" s="120"/>
      <c r="P36" s="120"/>
      <c r="R36" s="152"/>
    </row>
    <row r="37" spans="2:20" ht="15" customHeight="1" thickBot="1">
      <c r="B37" s="207"/>
      <c r="C37" s="208"/>
      <c r="D37" s="209"/>
      <c r="E37" s="152"/>
      <c r="F37" s="152"/>
      <c r="H37" s="133" t="s">
        <v>34</v>
      </c>
      <c r="J37" s="120"/>
      <c r="K37" s="120"/>
      <c r="L37" s="120"/>
      <c r="M37" s="120"/>
      <c r="P37" s="120"/>
      <c r="Q37" s="161"/>
      <c r="R37" s="161" t="s">
        <v>4</v>
      </c>
      <c r="T37" s="161"/>
    </row>
    <row r="38" spans="2:20" ht="15" customHeight="1">
      <c r="B38" s="207"/>
      <c r="C38" s="208"/>
      <c r="D38" s="211"/>
      <c r="E38" s="152"/>
      <c r="F38" s="152"/>
      <c r="H38" s="115" t="s">
        <v>35</v>
      </c>
      <c r="J38" s="120"/>
      <c r="K38" s="120"/>
      <c r="L38" s="120"/>
      <c r="M38" s="120"/>
      <c r="O38" s="212"/>
      <c r="P38" s="116"/>
      <c r="R38" s="152"/>
    </row>
    <row r="39" spans="2:20" ht="15" customHeight="1" thickBot="1">
      <c r="B39" s="213"/>
      <c r="C39" s="214"/>
      <c r="D39" s="215"/>
      <c r="H39" s="141" t="s">
        <v>36</v>
      </c>
      <c r="I39" s="116" t="s">
        <v>10</v>
      </c>
      <c r="J39" s="142" t="e">
        <f>[12]Annualized!C6</f>
        <v>#REF!</v>
      </c>
      <c r="K39" s="160" t="e">
        <f>ROUND(J39/J40,4)*100</f>
        <v>#REF!</v>
      </c>
      <c r="L39" s="142" t="e">
        <f>+E69</f>
        <v>#REF!</v>
      </c>
      <c r="M39" s="160" t="e">
        <f>ROUND(L39/L40,4)*100</f>
        <v>#REF!</v>
      </c>
      <c r="N39" s="161"/>
      <c r="O39" s="145" t="e">
        <f>ROUND((K39/M39)-1,4)</f>
        <v>#REF!</v>
      </c>
      <c r="P39" s="146" t="e">
        <f>ROUND((J39/L39)-1,3)</f>
        <v>#REF!</v>
      </c>
      <c r="Q39" s="120" t="e">
        <f>+J39-L39</f>
        <v>#REF!</v>
      </c>
      <c r="R39" s="216"/>
    </row>
    <row r="40" spans="2:20" ht="15" customHeight="1" thickBot="1">
      <c r="H40" s="116" t="s">
        <v>89</v>
      </c>
      <c r="I40" s="116" t="s">
        <v>4</v>
      </c>
      <c r="J40" s="120" t="e">
        <f>ROUND((D13+D35)/2,0)</f>
        <v>#REF!</v>
      </c>
      <c r="K40" s="120"/>
      <c r="L40" s="120" t="e">
        <f>ROUND((E13+F13)/2,0)</f>
        <v>#REF!</v>
      </c>
      <c r="M40" s="120"/>
      <c r="O40" s="216"/>
      <c r="P40" s="146" t="e">
        <f>ROUND((J40/L40)-1,3)</f>
        <v>#REF!</v>
      </c>
      <c r="Q40" s="120" t="e">
        <f>+J40-L40</f>
        <v>#REF!</v>
      </c>
      <c r="R40" s="152"/>
    </row>
    <row r="41" spans="2:20" ht="15" customHeight="1">
      <c r="B41" s="364" t="s">
        <v>258</v>
      </c>
      <c r="C41" s="366" t="s">
        <v>369</v>
      </c>
      <c r="D41" s="365" t="s">
        <v>331</v>
      </c>
      <c r="H41" s="115" t="s">
        <v>37</v>
      </c>
      <c r="J41" s="120"/>
      <c r="K41" s="120"/>
      <c r="L41" s="120"/>
      <c r="M41" s="120"/>
      <c r="O41" s="212"/>
      <c r="P41" s="217"/>
      <c r="Q41" s="216"/>
      <c r="R41" s="152"/>
    </row>
    <row r="42" spans="2:20" ht="15" customHeight="1">
      <c r="B42" s="360"/>
      <c r="C42" s="367"/>
      <c r="D42" s="361"/>
      <c r="H42" s="141" t="s">
        <v>36</v>
      </c>
      <c r="I42" s="116" t="s">
        <v>10</v>
      </c>
      <c r="J42" s="142" t="e">
        <f>+J39</f>
        <v>#REF!</v>
      </c>
      <c r="K42" s="160" t="e">
        <f>ROUND(J42/J43,4)*100</f>
        <v>#REF!</v>
      </c>
      <c r="L42" s="142" t="e">
        <f>+L39</f>
        <v>#REF!</v>
      </c>
      <c r="M42" s="160" t="e">
        <f>ROUND(L42/L43,4)*100</f>
        <v>#REF!</v>
      </c>
      <c r="N42" s="161"/>
      <c r="O42" s="145" t="e">
        <f>ROUND((K42/M42)-1,4)</f>
        <v>#REF!</v>
      </c>
      <c r="P42" s="146" t="e">
        <f>ROUND((J42/L42)-1,3)</f>
        <v>#REF!</v>
      </c>
      <c r="Q42" s="120" t="e">
        <f>+J42-L42</f>
        <v>#REF!</v>
      </c>
    </row>
    <row r="43" spans="2:20" ht="15" customHeight="1">
      <c r="B43" s="360" t="s">
        <v>356</v>
      </c>
      <c r="C43" s="367">
        <v>14.46954</v>
      </c>
      <c r="D43" s="361"/>
      <c r="H43" s="116" t="s">
        <v>38</v>
      </c>
      <c r="I43" s="116" t="s">
        <v>4</v>
      </c>
      <c r="J43" s="218" t="e">
        <f>ROUND((+D8+D36)/2,0)</f>
        <v>#REF!</v>
      </c>
      <c r="K43" s="120"/>
      <c r="L43" s="218" t="e">
        <f>ROUND((E8+F8)/2,0)</f>
        <v>#REF!</v>
      </c>
      <c r="M43" s="120"/>
      <c r="N43" s="174"/>
      <c r="O43" s="216"/>
      <c r="P43" s="146" t="e">
        <f>ROUND((J43/L43)-1,3)</f>
        <v>#REF!</v>
      </c>
      <c r="Q43" s="120" t="e">
        <f>+J43-L43</f>
        <v>#REF!</v>
      </c>
    </row>
    <row r="44" spans="2:20" ht="15" customHeight="1">
      <c r="B44" s="360" t="s">
        <v>342</v>
      </c>
      <c r="C44" s="367">
        <v>6.5370499999999998</v>
      </c>
      <c r="D44" s="361">
        <f>+C44</f>
        <v>6.5370499999999998</v>
      </c>
      <c r="H44" s="115" t="s">
        <v>39</v>
      </c>
      <c r="J44" s="120"/>
      <c r="K44" s="120"/>
      <c r="L44" s="120"/>
      <c r="M44" s="120"/>
      <c r="P44" s="219"/>
    </row>
    <row r="45" spans="2:20" ht="15" customHeight="1">
      <c r="B45" s="360" t="s">
        <v>348</v>
      </c>
      <c r="C45" s="367"/>
      <c r="D45" s="361">
        <v>8.2119599999999995</v>
      </c>
      <c r="H45" s="141" t="s">
        <v>40</v>
      </c>
      <c r="I45" s="116" t="s">
        <v>10</v>
      </c>
      <c r="J45" s="142" t="e">
        <f>+J42*1000</f>
        <v>#REF!</v>
      </c>
      <c r="K45" s="143" t="e">
        <f>ROUND(J45/J46,2)</f>
        <v>#REF!</v>
      </c>
      <c r="L45" s="142" t="e">
        <f>+L39*1000</f>
        <v>#REF!</v>
      </c>
      <c r="M45" s="143" t="e">
        <f>ROUND(L45/L46,2)</f>
        <v>#REF!</v>
      </c>
      <c r="N45" s="192"/>
      <c r="O45" s="145" t="e">
        <f>ROUND((K45/M45)-1,4)</f>
        <v>#REF!</v>
      </c>
      <c r="P45" s="146" t="e">
        <f>ROUND((J45/L45)-1,3)</f>
        <v>#REF!</v>
      </c>
    </row>
    <row r="46" spans="2:20" ht="15" customHeight="1" thickBot="1">
      <c r="B46" s="362"/>
      <c r="C46" s="368">
        <f>SUM(C42:C45)</f>
        <v>21.006589999999999</v>
      </c>
      <c r="D46" s="363">
        <f>SUM(D42:D45)</f>
        <v>14.749009999999998</v>
      </c>
      <c r="E46" s="220"/>
      <c r="H46" s="116" t="s">
        <v>41</v>
      </c>
      <c r="J46" s="221">
        <v>6118965160</v>
      </c>
      <c r="K46" s="120"/>
      <c r="L46" s="221">
        <v>6118965160</v>
      </c>
      <c r="M46" s="120"/>
      <c r="P46" s="146">
        <f>ROUND((J46/L46)-1,3)</f>
        <v>0</v>
      </c>
    </row>
    <row r="47" spans="2:20" ht="15" customHeight="1">
      <c r="E47" s="220"/>
      <c r="M47" s="120"/>
      <c r="P47" s="146"/>
    </row>
    <row r="48" spans="2:20" ht="15" customHeight="1" thickBot="1">
      <c r="C48" s="222"/>
      <c r="D48" s="222"/>
      <c r="E48" s="222"/>
      <c r="H48" s="115" t="s">
        <v>42</v>
      </c>
      <c r="J48" s="120"/>
      <c r="K48" s="120"/>
      <c r="L48" s="223"/>
      <c r="M48" s="120"/>
      <c r="O48" s="212"/>
    </row>
    <row r="49" spans="2:16" ht="15" customHeight="1">
      <c r="B49" s="370" t="s">
        <v>177</v>
      </c>
      <c r="C49" s="371" t="str">
        <f>+$D$4</f>
        <v>Sep-24</v>
      </c>
      <c r="D49" s="371" t="str">
        <f>+E16</f>
        <v>Sep-23</v>
      </c>
      <c r="E49" s="372" t="str">
        <f>+$F$16</f>
        <v>Dec-23</v>
      </c>
      <c r="H49" s="141" t="s">
        <v>43</v>
      </c>
      <c r="I49" s="116" t="s">
        <v>10</v>
      </c>
      <c r="J49" s="224">
        <f>+C46</f>
        <v>21.006589999999999</v>
      </c>
      <c r="K49" s="160">
        <f>ROUND(J49/J50,4)*100</f>
        <v>7.5600000000000005</v>
      </c>
      <c r="L49" s="225">
        <f>+D46</f>
        <v>14.749009999999998</v>
      </c>
      <c r="M49" s="160">
        <f>ROUND(L49/L50,4)*100</f>
        <v>5.18</v>
      </c>
      <c r="N49" s="202"/>
      <c r="O49" s="145">
        <f>ROUND((K49/M49)-1,4)</f>
        <v>0.45950000000000002</v>
      </c>
      <c r="P49" s="146">
        <f>ROUND((J49/L49)-1,3)</f>
        <v>0.42399999999999999</v>
      </c>
    </row>
    <row r="50" spans="2:16" ht="15" customHeight="1">
      <c r="B50" s="373" t="s">
        <v>98</v>
      </c>
      <c r="C50" s="166" t="e">
        <f>+ [14]Result!D5</f>
        <v>#REF!</v>
      </c>
      <c r="D50" s="166" t="e">
        <f>+ [14]Result!E5</f>
        <v>#REF!</v>
      </c>
      <c r="E50" s="374" t="e">
        <f>+#REF! [11]Calculations!C50</f>
        <v>#REF!</v>
      </c>
      <c r="F50" s="226"/>
      <c r="H50" s="116" t="s">
        <v>44</v>
      </c>
      <c r="J50" s="227">
        <v>278</v>
      </c>
      <c r="K50" s="174" t="s">
        <v>4</v>
      </c>
      <c r="L50" s="227">
        <v>284.60000000000002</v>
      </c>
      <c r="M50" s="174" t="s">
        <v>4</v>
      </c>
      <c r="N50" s="228"/>
      <c r="O50" s="216"/>
      <c r="P50" s="146">
        <f>ROUND((J50/L50)-1,3)</f>
        <v>-2.3E-2</v>
      </c>
    </row>
    <row r="51" spans="2:16" ht="15" customHeight="1">
      <c r="B51" s="373" t="s">
        <v>99</v>
      </c>
      <c r="C51" s="166" t="e">
        <f>+ [14]Result!D6</f>
        <v>#REF!</v>
      </c>
      <c r="D51" s="166" t="e">
        <f>+ [14]Result!E6</f>
        <v>#REF!</v>
      </c>
      <c r="E51" s="374" t="e">
        <f>+#REF! [11]Calculations!C51</f>
        <v>#REF!</v>
      </c>
      <c r="F51" s="226"/>
      <c r="P51" s="219"/>
    </row>
    <row r="52" spans="2:16" ht="15" customHeight="1">
      <c r="B52" s="373" t="s">
        <v>90</v>
      </c>
      <c r="C52" s="166" t="e">
        <f>+ [14]Result!D7</f>
        <v>#REF!</v>
      </c>
      <c r="D52" s="166" t="e">
        <f>+ [14]Result!E7</f>
        <v>#REF!</v>
      </c>
      <c r="E52" s="374" t="e">
        <f>+#REF! [11]Calculations!C52</f>
        <v>#REF!</v>
      </c>
      <c r="F52" s="226"/>
      <c r="J52" s="222"/>
      <c r="M52" s="229"/>
    </row>
    <row r="53" spans="2:16" ht="15" customHeight="1">
      <c r="B53" s="373" t="s">
        <v>91</v>
      </c>
      <c r="C53" s="166" t="e">
        <f>+ [14]Result!D8</f>
        <v>#REF!</v>
      </c>
      <c r="D53" s="166" t="e">
        <f>+ [14]Result!E8</f>
        <v>#REF!</v>
      </c>
      <c r="E53" s="374" t="e">
        <f>+#REF! [11]Calculations!C53</f>
        <v>#REF!</v>
      </c>
      <c r="F53" s="226"/>
      <c r="J53" s="222"/>
    </row>
    <row r="54" spans="2:16" ht="15" customHeight="1">
      <c r="B54" s="373" t="s">
        <v>100</v>
      </c>
      <c r="C54" s="166" t="e">
        <f>+ [14]Result!D9</f>
        <v>#REF!</v>
      </c>
      <c r="D54" s="166" t="e">
        <f>+ [14]Result!E9</f>
        <v>#REF!</v>
      </c>
      <c r="E54" s="374" t="e">
        <f>+#REF! [11]Calculations!C54</f>
        <v>#REF!</v>
      </c>
      <c r="F54" s="226"/>
      <c r="P54" s="230"/>
    </row>
    <row r="55" spans="2:16" ht="15" customHeight="1">
      <c r="B55" s="373" t="s">
        <v>101</v>
      </c>
      <c r="C55" s="166" t="e">
        <f>+ [14]Result!D10</f>
        <v>#REF!</v>
      </c>
      <c r="D55" s="166" t="e">
        <f>+ [14]Result!E10</f>
        <v>#REF!</v>
      </c>
      <c r="E55" s="374" t="e">
        <f>+#REF! [11]Calculations!C55</f>
        <v>#REF!</v>
      </c>
      <c r="F55" s="226"/>
    </row>
    <row r="56" spans="2:16" ht="15" customHeight="1">
      <c r="B56" s="375" t="s">
        <v>76</v>
      </c>
      <c r="C56" s="170" t="e">
        <f>SUM(C50:C55)</f>
        <v>#REF!</v>
      </c>
      <c r="D56" s="170" t="e">
        <f>SUM(D50:D55)</f>
        <v>#REF!</v>
      </c>
      <c r="E56" s="378" t="e">
        <f>SUM(E50:E55)</f>
        <v>#REF!</v>
      </c>
      <c r="F56" s="226"/>
      <c r="H56" s="231"/>
      <c r="I56" s="232"/>
      <c r="J56" s="233"/>
      <c r="K56" s="233"/>
      <c r="L56" s="233"/>
      <c r="M56" s="233"/>
      <c r="O56" s="234"/>
      <c r="P56" s="235"/>
    </row>
    <row r="57" spans="2:16" ht="15" customHeight="1">
      <c r="B57" s="373" t="s">
        <v>77</v>
      </c>
      <c r="C57" s="166" t="e">
        <f>+ [14]Result!D13</f>
        <v>#REF!</v>
      </c>
      <c r="D57" s="166" t="e">
        <f>+ [14]Result!E13</f>
        <v>#REF!</v>
      </c>
      <c r="E57" s="374" t="e">
        <f>+#REF! [11]Calculations!C57</f>
        <v>#REF!</v>
      </c>
      <c r="F57" s="226"/>
      <c r="H57" s="231"/>
      <c r="I57" s="232"/>
      <c r="J57" s="233"/>
      <c r="K57" s="233"/>
      <c r="L57" s="233"/>
      <c r="M57" s="233"/>
      <c r="O57" s="236"/>
    </row>
    <row r="58" spans="2:16" ht="15" customHeight="1">
      <c r="B58" s="373" t="s">
        <v>78</v>
      </c>
      <c r="C58" s="166" t="e">
        <f>+ [14]Result!D14</f>
        <v>#REF!</v>
      </c>
      <c r="D58" s="166" t="e">
        <f>+ [14]Result!E14</f>
        <v>#REF!</v>
      </c>
      <c r="E58" s="374" t="e">
        <f>+#REF! [11]Calculations!C58</f>
        <v>#REF!</v>
      </c>
      <c r="F58" s="226"/>
      <c r="H58" s="232"/>
      <c r="I58" s="232"/>
      <c r="J58" s="233"/>
      <c r="K58" s="237"/>
      <c r="L58" s="233"/>
      <c r="M58" s="237"/>
      <c r="N58" s="202"/>
      <c r="O58" s="238"/>
      <c r="P58" s="239"/>
    </row>
    <row r="59" spans="2:16" ht="15" customHeight="1">
      <c r="B59" s="373" t="s">
        <v>79</v>
      </c>
      <c r="C59" s="166" t="e">
        <f>+ [14]Result!D15</f>
        <v>#REF!</v>
      </c>
      <c r="D59" s="166" t="e">
        <f>+ [14]Result!E15</f>
        <v>#REF!</v>
      </c>
      <c r="E59" s="374" t="e">
        <f>+#REF! [11]Calculations!C59</f>
        <v>#REF!</v>
      </c>
      <c r="F59" s="226"/>
      <c r="H59" s="232"/>
      <c r="I59" s="232"/>
      <c r="J59" s="233"/>
      <c r="K59" s="240"/>
      <c r="L59" s="233"/>
      <c r="M59" s="240"/>
      <c r="O59" s="236"/>
      <c r="P59" s="239"/>
    </row>
    <row r="60" spans="2:16" ht="15" customHeight="1">
      <c r="B60" s="373" t="s">
        <v>80</v>
      </c>
      <c r="C60" s="166" t="e">
        <f>+ [14]Result!D16</f>
        <v>#REF!</v>
      </c>
      <c r="D60" s="166" t="e">
        <f>+ [14]Result!E16</f>
        <v>#REF!</v>
      </c>
      <c r="E60" s="374" t="e">
        <f>+#REF! [11]Calculations!C60</f>
        <v>#REF!</v>
      </c>
      <c r="F60" s="226"/>
      <c r="H60" s="231"/>
      <c r="I60" s="232"/>
      <c r="J60" s="233"/>
      <c r="K60" s="233"/>
      <c r="L60" s="233"/>
      <c r="M60" s="233"/>
      <c r="O60" s="236"/>
    </row>
    <row r="61" spans="2:16" ht="15" customHeight="1">
      <c r="B61" s="375" t="s">
        <v>81</v>
      </c>
      <c r="C61" s="170" t="e">
        <f>SUM(C57:C60)</f>
        <v>#REF!</v>
      </c>
      <c r="D61" s="170" t="e">
        <f>SUM(D57:D60)</f>
        <v>#REF!</v>
      </c>
      <c r="E61" s="378" t="e">
        <f>SUM(E57:E60)</f>
        <v>#REF!</v>
      </c>
      <c r="F61" s="226"/>
      <c r="H61" s="232"/>
      <c r="I61" s="241"/>
      <c r="J61" s="233"/>
      <c r="K61" s="237"/>
      <c r="L61" s="233"/>
      <c r="M61" s="237"/>
      <c r="N61" s="242"/>
      <c r="O61" s="238"/>
      <c r="P61" s="239"/>
    </row>
    <row r="62" spans="2:16" ht="15" customHeight="1">
      <c r="B62" s="373" t="s">
        <v>87</v>
      </c>
      <c r="C62" s="166" t="e">
        <f>+ [14]Result!D11</f>
        <v>#REF!</v>
      </c>
      <c r="D62" s="166" t="e">
        <f>+ [14]Result!E11</f>
        <v>#REF!</v>
      </c>
      <c r="E62" s="374" t="e">
        <f>+#REF! [11]Calculations!C62</f>
        <v>#REF!</v>
      </c>
      <c r="F62" s="226"/>
      <c r="H62" s="232"/>
      <c r="I62" s="232"/>
      <c r="J62" s="233"/>
      <c r="K62" s="240"/>
      <c r="L62" s="233"/>
      <c r="M62" s="240"/>
      <c r="N62" s="120"/>
      <c r="O62" s="236"/>
      <c r="P62" s="239"/>
    </row>
    <row r="63" spans="2:16" ht="15" customHeight="1">
      <c r="B63" s="373" t="s">
        <v>82</v>
      </c>
      <c r="C63" s="166"/>
      <c r="D63" s="166"/>
      <c r="E63" s="374"/>
      <c r="F63" s="226"/>
      <c r="H63" s="115"/>
      <c r="J63" s="120"/>
      <c r="K63" s="120"/>
      <c r="L63" s="120"/>
      <c r="M63" s="120"/>
      <c r="O63" s="236"/>
    </row>
    <row r="64" spans="2:16" ht="15" customHeight="1">
      <c r="B64" s="375" t="s">
        <v>83</v>
      </c>
      <c r="C64" s="170" t="e">
        <f>+C56+C61+C62+C63</f>
        <v>#REF!</v>
      </c>
      <c r="D64" s="170" t="e">
        <f>+D56+D61+D62+D63</f>
        <v>#REF!</v>
      </c>
      <c r="E64" s="378" t="e">
        <f>+E56+E61+E62+E63</f>
        <v>#REF!</v>
      </c>
      <c r="F64" s="226"/>
      <c r="L64" s="243"/>
    </row>
    <row r="65" spans="2:13" ht="15" customHeight="1">
      <c r="B65" s="373" t="s">
        <v>84</v>
      </c>
      <c r="C65" s="166" t="e">
        <f>+ [14]Result!D19</f>
        <v>#REF!</v>
      </c>
      <c r="D65" s="166" t="e">
        <f>+ [14]Result!E19</f>
        <v>#REF!</v>
      </c>
      <c r="E65" s="374" t="e">
        <f>+#REF! [11]Calculations!C65</f>
        <v>#REF!</v>
      </c>
      <c r="F65" s="226"/>
      <c r="K65" s="244"/>
      <c r="M65" s="244"/>
    </row>
    <row r="66" spans="2:13" ht="15" customHeight="1">
      <c r="B66" s="373" t="s">
        <v>285</v>
      </c>
      <c r="C66" s="166" t="e">
        <f>+ [14]Result!D21</f>
        <v>#REF!</v>
      </c>
      <c r="D66" s="166" t="e">
        <f>+ [14]Result!E21</f>
        <v>#REF!</v>
      </c>
      <c r="E66" s="374" t="e">
        <f>+#REF! [11]Calculations!C66</f>
        <v>#REF!</v>
      </c>
      <c r="F66" s="226"/>
      <c r="K66" s="244"/>
      <c r="M66" s="244"/>
    </row>
    <row r="67" spans="2:13" ht="15" customHeight="1">
      <c r="B67" s="373" t="s">
        <v>85</v>
      </c>
      <c r="C67" s="166" t="e">
        <f>+ [14]Result!D26</f>
        <v>#REF!</v>
      </c>
      <c r="D67" s="166" t="e">
        <f>+ [14]Result!E26</f>
        <v>#REF!</v>
      </c>
      <c r="E67" s="374" t="e">
        <f>+#REF! [11]Calculations!C67</f>
        <v>#REF!</v>
      </c>
      <c r="F67" s="226"/>
    </row>
    <row r="68" spans="2:13" ht="15" customHeight="1">
      <c r="B68" s="376" t="s">
        <v>88</v>
      </c>
      <c r="C68" s="381" t="e">
        <f>+C64+C65+C66</f>
        <v>#REF!</v>
      </c>
      <c r="D68" s="381" t="e">
        <f>+D64+D65+D66</f>
        <v>#REF!</v>
      </c>
      <c r="E68" s="382" t="e">
        <f>+E64+E65+E66</f>
        <v>#REF!</v>
      </c>
      <c r="F68" s="226"/>
    </row>
    <row r="69" spans="2:13" ht="15" customHeight="1" thickBot="1">
      <c r="B69" s="377" t="s">
        <v>86</v>
      </c>
      <c r="C69" s="379" t="e">
        <f>+C68-C67</f>
        <v>#REF!</v>
      </c>
      <c r="D69" s="379" t="e">
        <f t="shared" ref="D69:E69" si="1">+D68-D67</f>
        <v>#REF!</v>
      </c>
      <c r="E69" s="380" t="e">
        <f t="shared" si="1"/>
        <v>#REF!</v>
      </c>
      <c r="F69" s="226"/>
    </row>
    <row r="70" spans="2:13" ht="15" customHeight="1">
      <c r="D70" s="226"/>
    </row>
    <row r="71" spans="2:13" ht="15" customHeight="1">
      <c r="D71" s="226"/>
    </row>
    <row r="72" spans="2:13" ht="15" customHeight="1">
      <c r="D72" s="226"/>
    </row>
    <row r="73" spans="2:13" ht="15" customHeight="1">
      <c r="C73" s="245"/>
    </row>
    <row r="76" spans="2:13" ht="15" customHeight="1">
      <c r="C76" s="226"/>
    </row>
    <row r="100" spans="10:14" ht="15" customHeight="1">
      <c r="J100" s="246"/>
      <c r="K100" s="246"/>
      <c r="M100" s="246"/>
      <c r="N100" s="246"/>
    </row>
    <row r="101" spans="10:14" ht="15" customHeight="1">
      <c r="J101" s="246"/>
      <c r="K101" s="246"/>
      <c r="M101" s="246"/>
      <c r="N101" s="246"/>
    </row>
    <row r="102" spans="10:14" ht="15" customHeight="1">
      <c r="J102" s="246"/>
      <c r="K102" s="246"/>
      <c r="M102" s="246"/>
      <c r="N102" s="246"/>
    </row>
    <row r="103" spans="10:14" ht="15" customHeight="1">
      <c r="J103" s="246"/>
      <c r="K103" s="246"/>
      <c r="M103" s="246"/>
      <c r="N103" s="246"/>
    </row>
    <row r="104" spans="10:14" ht="15" customHeight="1">
      <c r="J104" s="246"/>
      <c r="K104" s="246"/>
      <c r="M104" s="246"/>
      <c r="N104" s="246"/>
    </row>
    <row r="105" spans="10:14" ht="15" customHeight="1">
      <c r="J105" s="246"/>
      <c r="K105" s="246"/>
      <c r="M105" s="246"/>
      <c r="N105" s="246"/>
    </row>
    <row r="106" spans="10:14" ht="15" customHeight="1">
      <c r="J106" s="246"/>
      <c r="K106" s="246"/>
      <c r="L106" s="246"/>
      <c r="M106" s="246"/>
      <c r="N106" s="246"/>
    </row>
    <row r="107" spans="10:14" ht="15" customHeight="1">
      <c r="J107" s="246"/>
      <c r="K107" s="246"/>
      <c r="L107" s="246"/>
      <c r="M107" s="246"/>
      <c r="N107" s="246"/>
    </row>
    <row r="108" spans="10:14" ht="15" customHeight="1">
      <c r="J108" s="246"/>
      <c r="K108" s="246"/>
      <c r="L108" s="246"/>
      <c r="M108" s="246"/>
    </row>
    <row r="109" spans="10:14" ht="15" customHeight="1">
      <c r="J109" s="246"/>
      <c r="K109" s="246"/>
      <c r="L109" s="246"/>
      <c r="M109" s="246"/>
    </row>
    <row r="110" spans="10:14" ht="15" customHeight="1">
      <c r="J110" s="246"/>
      <c r="K110" s="246"/>
      <c r="L110" s="246"/>
      <c r="M110" s="246"/>
    </row>
    <row r="111" spans="10:14" ht="15" customHeight="1">
      <c r="J111" s="246"/>
      <c r="K111" s="246"/>
      <c r="L111" s="246"/>
      <c r="M111" s="246"/>
    </row>
    <row r="112" spans="10:14" ht="15" customHeight="1">
      <c r="J112" s="246"/>
      <c r="K112" s="246"/>
      <c r="L112" s="246"/>
      <c r="M112" s="246"/>
    </row>
    <row r="113" spans="10:13" ht="15" customHeight="1">
      <c r="J113" s="246"/>
      <c r="K113" s="246"/>
      <c r="L113" s="246"/>
      <c r="M113" s="246"/>
    </row>
    <row r="114" spans="10:13" ht="15" customHeight="1">
      <c r="J114" s="246"/>
      <c r="K114" s="246"/>
      <c r="L114" s="246"/>
      <c r="M114" s="246"/>
    </row>
    <row r="115" spans="10:13" ht="15" customHeight="1">
      <c r="J115" s="246"/>
      <c r="K115" s="246"/>
      <c r="L115" s="246"/>
      <c r="M115" s="246"/>
    </row>
    <row r="116" spans="10:13" ht="15" customHeight="1">
      <c r="J116" s="246"/>
      <c r="K116" s="246"/>
      <c r="L116" s="246"/>
      <c r="M116" s="246"/>
    </row>
    <row r="117" spans="10:13" ht="15" customHeight="1">
      <c r="J117" s="246"/>
      <c r="K117" s="246"/>
      <c r="L117" s="246"/>
      <c r="M117" s="246"/>
    </row>
    <row r="118" spans="10:13" ht="15" customHeight="1">
      <c r="J118" s="246"/>
      <c r="K118" s="246"/>
      <c r="L118" s="246"/>
      <c r="M118" s="246"/>
    </row>
    <row r="119" spans="10:13" ht="15" customHeight="1">
      <c r="J119" s="246"/>
      <c r="K119" s="246"/>
      <c r="L119" s="246"/>
      <c r="M119" s="246"/>
    </row>
    <row r="120" spans="10:13" ht="15" customHeight="1">
      <c r="J120" s="246"/>
      <c r="K120" s="246"/>
      <c r="L120" s="246"/>
      <c r="M120" s="246"/>
    </row>
    <row r="121" spans="10:13" ht="15" customHeight="1">
      <c r="J121" s="246"/>
      <c r="K121" s="246"/>
      <c r="L121" s="246"/>
      <c r="M121" s="246"/>
    </row>
    <row r="122" spans="10:13" ht="15" customHeight="1">
      <c r="J122" s="246"/>
      <c r="K122" s="246"/>
      <c r="M122" s="246"/>
    </row>
    <row r="123" spans="10:13" ht="15" customHeight="1">
      <c r="J123" s="246"/>
      <c r="K123" s="246"/>
      <c r="L123" s="246"/>
      <c r="M123" s="246"/>
    </row>
    <row r="124" spans="10:13" ht="15" customHeight="1">
      <c r="J124" s="246"/>
      <c r="K124" s="246"/>
      <c r="L124" s="246"/>
      <c r="M124" s="246"/>
    </row>
    <row r="125" spans="10:13" ht="15" customHeight="1">
      <c r="J125" s="246"/>
      <c r="K125" s="246"/>
      <c r="L125" s="246"/>
      <c r="M125" s="246"/>
    </row>
    <row r="126" spans="10:13" ht="15" customHeight="1">
      <c r="J126" s="246"/>
      <c r="K126" s="246"/>
      <c r="L126" s="246"/>
      <c r="M126" s="246"/>
    </row>
    <row r="127" spans="10:13" ht="15" customHeight="1">
      <c r="J127" s="246"/>
      <c r="K127" s="246"/>
      <c r="L127" s="246"/>
      <c r="M127" s="246"/>
    </row>
    <row r="128" spans="10:13" ht="15" customHeight="1">
      <c r="J128" s="246"/>
      <c r="K128" s="246"/>
      <c r="L128" s="246"/>
      <c r="M128" s="246"/>
    </row>
    <row r="129" spans="10:13" ht="15" customHeight="1">
      <c r="J129" s="246"/>
      <c r="K129" s="246"/>
      <c r="L129" s="246"/>
      <c r="M129" s="246"/>
    </row>
    <row r="130" spans="10:13" ht="15" customHeight="1">
      <c r="J130" s="246"/>
      <c r="K130" s="246"/>
      <c r="M130" s="246"/>
    </row>
    <row r="131" spans="10:13" ht="15" customHeight="1">
      <c r="J131" s="246"/>
      <c r="K131" s="246"/>
      <c r="M131" s="246"/>
    </row>
    <row r="132" spans="10:13" ht="15" customHeight="1">
      <c r="J132" s="246"/>
      <c r="K132" s="246"/>
      <c r="M132" s="246"/>
    </row>
    <row r="133" spans="10:13" ht="15" customHeight="1">
      <c r="J133" s="246"/>
      <c r="K133" s="246"/>
      <c r="M133" s="246"/>
    </row>
    <row r="134" spans="10:13" ht="15" customHeight="1">
      <c r="J134" s="246"/>
      <c r="K134" s="246"/>
      <c r="M134" s="246"/>
    </row>
    <row r="135" spans="10:13" ht="15" customHeight="1">
      <c r="J135" s="246"/>
      <c r="K135" s="246"/>
      <c r="M135" s="246"/>
    </row>
    <row r="136" spans="10:13" ht="15" customHeight="1">
      <c r="J136" s="246"/>
      <c r="K136" s="246"/>
      <c r="M136" s="246"/>
    </row>
    <row r="137" spans="10:13" ht="15" customHeight="1">
      <c r="J137" s="246"/>
      <c r="K137" s="246"/>
      <c r="M137" s="246"/>
    </row>
    <row r="138" spans="10:13" ht="15" customHeight="1">
      <c r="J138" s="246"/>
      <c r="K138" s="246"/>
      <c r="M138" s="246"/>
    </row>
    <row r="139" spans="10:13" ht="15" customHeight="1">
      <c r="J139" s="246"/>
      <c r="K139" s="246"/>
      <c r="M139" s="246"/>
    </row>
    <row r="140" spans="10:13" ht="15" customHeight="1">
      <c r="J140" s="246"/>
      <c r="K140" s="246"/>
      <c r="M140" s="246"/>
    </row>
    <row r="141" spans="10:13" ht="15" customHeight="1">
      <c r="J141" s="246"/>
      <c r="K141" s="246"/>
      <c r="M141" s="246"/>
    </row>
    <row r="142" spans="10:13" ht="15" customHeight="1">
      <c r="J142" s="246"/>
      <c r="K142" s="246"/>
      <c r="M142" s="246"/>
    </row>
    <row r="143" spans="10:13" ht="15" customHeight="1">
      <c r="J143" s="246"/>
      <c r="K143" s="246"/>
      <c r="M143" s="246"/>
    </row>
    <row r="144" spans="10:13" ht="15" customHeight="1">
      <c r="J144" s="246"/>
      <c r="K144" s="246"/>
      <c r="M144" s="246"/>
    </row>
    <row r="145" spans="10:13" ht="15" customHeight="1">
      <c r="J145" s="246"/>
      <c r="K145" s="246"/>
      <c r="M145" s="246"/>
    </row>
    <row r="146" spans="10:13" ht="15" customHeight="1">
      <c r="J146" s="246"/>
      <c r="K146" s="246"/>
      <c r="M146" s="246"/>
    </row>
    <row r="147" spans="10:13" ht="15" customHeight="1">
      <c r="J147" s="246"/>
      <c r="K147" s="246"/>
      <c r="M147" s="246"/>
    </row>
    <row r="148" spans="10:13" ht="15" customHeight="1">
      <c r="J148" s="216"/>
      <c r="K148" s="246"/>
      <c r="M148" s="246"/>
    </row>
    <row r="149" spans="10:13" ht="15" customHeight="1">
      <c r="J149" s="246"/>
      <c r="K149" s="246"/>
      <c r="M149" s="246"/>
    </row>
    <row r="150" spans="10:13" ht="15" customHeight="1">
      <c r="J150" s="246"/>
      <c r="K150" s="246"/>
      <c r="M150" s="246"/>
    </row>
    <row r="151" spans="10:13" ht="15" customHeight="1">
      <c r="J151" s="246"/>
      <c r="K151" s="246"/>
      <c r="M151" s="246"/>
    </row>
    <row r="152" spans="10:13" ht="15" customHeight="1">
      <c r="J152" s="246"/>
      <c r="K152" s="246"/>
      <c r="M152" s="246"/>
    </row>
    <row r="153" spans="10:13" ht="15" customHeight="1">
      <c r="J153" s="246"/>
      <c r="K153" s="246"/>
      <c r="L153" s="212"/>
      <c r="M153" s="246"/>
    </row>
    <row r="154" spans="10:13" ht="15" customHeight="1">
      <c r="J154" s="246"/>
      <c r="K154" s="246"/>
      <c r="L154" s="212"/>
      <c r="M154" s="246"/>
    </row>
    <row r="155" spans="10:13" ht="15" customHeight="1">
      <c r="J155" s="246"/>
      <c r="K155" s="246"/>
      <c r="L155" s="212"/>
      <c r="M155" s="246"/>
    </row>
    <row r="156" spans="10:13" ht="15" customHeight="1">
      <c r="J156" s="246"/>
      <c r="K156" s="246"/>
      <c r="L156" s="212"/>
      <c r="M156" s="246"/>
    </row>
    <row r="157" spans="10:13" ht="15" customHeight="1">
      <c r="J157" s="246"/>
      <c r="K157" s="246"/>
      <c r="L157" s="212"/>
      <c r="M157" s="246"/>
    </row>
    <row r="158" spans="10:13" ht="15" customHeight="1">
      <c r="J158" s="246"/>
      <c r="K158" s="246"/>
      <c r="L158" s="212"/>
      <c r="M158" s="246"/>
    </row>
    <row r="159" spans="10:13" ht="15" customHeight="1">
      <c r="J159" s="246"/>
      <c r="K159" s="246"/>
      <c r="L159" s="212"/>
      <c r="M159" s="246"/>
    </row>
    <row r="160" spans="10:13" ht="15" customHeight="1">
      <c r="J160" s="246"/>
      <c r="K160" s="246"/>
      <c r="L160" s="212"/>
      <c r="M160" s="246"/>
    </row>
    <row r="161" spans="12:12" ht="15" customHeight="1">
      <c r="L161" s="212"/>
    </row>
    <row r="162" spans="12:12" ht="15" customHeight="1">
      <c r="L162" s="212"/>
    </row>
    <row r="163" spans="12:12" ht="15" customHeight="1">
      <c r="L163" s="212"/>
    </row>
    <row r="164" spans="12:12" ht="15" customHeight="1">
      <c r="L164" s="212"/>
    </row>
    <row r="165" spans="12:12" ht="15" customHeight="1">
      <c r="L165" s="212"/>
    </row>
    <row r="184" spans="10:13" ht="15" customHeight="1">
      <c r="L184" s="118"/>
    </row>
    <row r="186" spans="10:13" ht="15" customHeight="1">
      <c r="J186" s="246"/>
      <c r="K186" s="246"/>
      <c r="L186" s="246"/>
      <c r="M186" s="246"/>
    </row>
    <row r="187" spans="10:13" ht="15" customHeight="1">
      <c r="J187" s="246"/>
      <c r="K187" s="246"/>
      <c r="L187" s="246"/>
      <c r="M187" s="246"/>
    </row>
    <row r="188" spans="10:13" ht="15" customHeight="1">
      <c r="J188" s="246"/>
      <c r="K188" s="246"/>
      <c r="L188" s="246"/>
      <c r="M188" s="246"/>
    </row>
    <row r="189" spans="10:13" ht="15" customHeight="1">
      <c r="J189" s="246"/>
      <c r="K189" s="246"/>
      <c r="L189" s="246"/>
      <c r="M189" s="246"/>
    </row>
    <row r="190" spans="10:13" ht="15" customHeight="1">
      <c r="J190" s="246"/>
      <c r="K190" s="246"/>
      <c r="L190" s="246"/>
      <c r="M190" s="246"/>
    </row>
    <row r="191" spans="10:13" ht="15" customHeight="1">
      <c r="J191" s="246"/>
      <c r="K191" s="246"/>
      <c r="L191" s="246"/>
      <c r="M191" s="246"/>
    </row>
    <row r="192" spans="10:13" ht="15" customHeight="1">
      <c r="J192" s="246"/>
      <c r="K192" s="246"/>
      <c r="L192" s="246"/>
      <c r="M192" s="246"/>
    </row>
    <row r="193" spans="10:13" ht="15" customHeight="1">
      <c r="J193" s="246"/>
      <c r="K193" s="246"/>
      <c r="L193" s="246"/>
      <c r="M193" s="246"/>
    </row>
    <row r="194" spans="10:13" ht="15" customHeight="1">
      <c r="J194" s="246"/>
      <c r="K194" s="246"/>
      <c r="L194" s="246"/>
      <c r="M194" s="246"/>
    </row>
    <row r="195" spans="10:13" ht="15" customHeight="1">
      <c r="J195" s="246"/>
      <c r="K195" s="246"/>
      <c r="L195" s="246"/>
      <c r="M195" s="246"/>
    </row>
    <row r="196" spans="10:13" ht="15" customHeight="1">
      <c r="J196" s="246"/>
      <c r="K196" s="246"/>
      <c r="M196" s="246"/>
    </row>
    <row r="197" spans="10:13" ht="15" customHeight="1">
      <c r="J197" s="246"/>
      <c r="K197" s="246"/>
      <c r="M197" s="246"/>
    </row>
    <row r="198" spans="10:13" ht="15" customHeight="1">
      <c r="J198" s="246"/>
      <c r="K198" s="246"/>
      <c r="M198" s="246"/>
    </row>
    <row r="199" spans="10:13" ht="15" customHeight="1">
      <c r="J199" s="246"/>
      <c r="K199" s="246"/>
      <c r="M199" s="246"/>
    </row>
    <row r="200" spans="10:13" ht="15" customHeight="1">
      <c r="J200" s="246"/>
      <c r="K200" s="246"/>
      <c r="M200" s="246"/>
    </row>
    <row r="201" spans="10:13" ht="15" customHeight="1">
      <c r="J201" s="246"/>
      <c r="K201" s="246"/>
      <c r="M201" s="246"/>
    </row>
    <row r="202" spans="10:13" ht="15" customHeight="1">
      <c r="J202" s="246"/>
      <c r="K202" s="246"/>
      <c r="M202" s="246"/>
    </row>
    <row r="203" spans="10:13" ht="15" customHeight="1">
      <c r="J203" s="246"/>
      <c r="K203" s="246"/>
      <c r="M203" s="246"/>
    </row>
    <row r="204" spans="10:13" ht="15" customHeight="1">
      <c r="J204" s="246"/>
      <c r="K204" s="246"/>
      <c r="M204" s="246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4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24F4A3BD-7710-44E6-A515-8306B288D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0E7EBE-EBF7-4AC8-A6DC-F9A509F86B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29A5AA-ED10-4706-9D2E-D34E23FD0508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2667b352-ea57-489e-a59a-7ce1cbaae621"/>
    <ds:schemaRef ds:uri="http://schemas.microsoft.com/office/infopath/2007/PartnerControls"/>
    <ds:schemaRef ds:uri="cdaa483f-becd-4601-9da5-7224441603e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 Results</vt:lpstr>
      <vt:lpstr> Results by Segment</vt:lpstr>
      <vt:lpstr> Quarterly Results</vt:lpstr>
      <vt:lpstr> Statement of financial positio</vt:lpstr>
      <vt:lpstr> Financial Debt</vt:lpstr>
      <vt:lpstr> Cash flow</vt:lpstr>
      <vt:lpstr> Indicators</vt:lpstr>
      <vt:lpstr> Calculations</vt:lpstr>
      <vt:lpstr> Balance</vt:lpstr>
      <vt:lpstr> Result</vt:lpstr>
      <vt:lpstr> Flow</vt:lpstr>
      <vt:lpstr> Annualized</vt:lpstr>
      <vt:lpstr>Share value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Melnick</dc:creator>
  <cp:lastModifiedBy>Ignacio Ferruz Castellanos</cp:lastModifiedBy>
  <cp:lastPrinted>2011-04-19T13:35:12Z</cp:lastPrinted>
  <dcterms:created xsi:type="dcterms:W3CDTF">2009-05-16T00:13:33Z</dcterms:created>
  <dcterms:modified xsi:type="dcterms:W3CDTF">2025-01-06T14:26:00Z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2-Confidencial</vt:lpwstr>
  </property>
  <property fmtid="{D5CDD505-2E9C-101B-9397-08002B2CF9AE}" pid="6" name="ContentTypeId">
    <vt:lpwstr>0x010100287904A346C7DD4CB5D7CA632F15255C</vt:lpwstr>
  </property>
  <property fmtid="{D5CDD505-2E9C-101B-9397-08002B2CF9AE}" pid="7" name="MediaServiceImageTags">
    <vt:lpwstr/>
  </property>
</Properties>
</file>