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rvnas\00_GCI\E°F°\2023\IV Trimestre\03 Análisis Razonado\AA\"/>
    </mc:Choice>
  </mc:AlternateContent>
  <xr:revisionPtr revIDLastSave="0" documentId="13_ncr:1_{A32E2835-EB23-46F7-B969-AE89D20F6A44}" xr6:coauthVersionLast="47" xr6:coauthVersionMax="47" xr10:uidLastSave="{00000000-0000-0000-0000-000000000000}"/>
  <bookViews>
    <workbookView xWindow="-108" yWindow="-108" windowWidth="23256" windowHeight="12456" tabRatio="904" firstSheet="5" activeTab="14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" sheetId="24" state="hidden" r:id="rId4"/>
    <sheet name="Resultados Trimestrales" sheetId="30" state="hidden" r:id="rId5"/>
    <sheet name="Estado de situación financiera" sheetId="8" r:id="rId6"/>
    <sheet name="Deuda Financiera" sheetId="23" r:id="rId7"/>
    <sheet name="Flujo de efectivo" sheetId="17" r:id="rId8"/>
    <sheet name="Indicadores" sheetId="15" r:id="rId9"/>
    <sheet name="Cálculos" sheetId="4" r:id="rId10"/>
    <sheet name="Balance" sheetId="11" r:id="rId11"/>
    <sheet name="Resultado" sheetId="12" r:id="rId12"/>
    <sheet name="Flujo" sheetId="13" r:id="rId13"/>
    <sheet name="Anualizados" sheetId="10" r:id="rId14"/>
    <sheet name="Valor acción" sheetId="2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12" hidden="1">Flujo!$B$2:$E$71</definedName>
    <definedName name="_Hlk47472038" localSheetId="2">'Resultados por Segmento'!$B$10</definedName>
    <definedName name="_xlnm.Print_Area" localSheetId="9">Cálculos!$H$4:$L$50</definedName>
    <definedName name="_xlnm.Print_Area" localSheetId="5">'Estado de situación financiera'!#REF!</definedName>
    <definedName name="_xlnm.Print_Area" localSheetId="7">'Flujo de efectivo'!#REF!</definedName>
    <definedName name="_xlnm.Print_Area" localSheetId="8">Indicadores!#REF!</definedName>
    <definedName name="_xlnm.Print_Area" localSheetId="1">Resultados!#REF!</definedName>
    <definedName name="_xlnm.Print_Area" localSheetId="3">'Resultados Trim'!#REF!</definedName>
    <definedName name="Base">'[1]ER-Mod'!$B$3</definedName>
    <definedName name="empresa">'[1]ER-Mod'!$A$2</definedName>
    <definedName name="key">'[1]ER-Mod'!$B$2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5" l="1"/>
  <c r="E10" i="15"/>
  <c r="E6" i="15"/>
  <c r="E5" i="15"/>
  <c r="H6" i="15"/>
  <c r="H7" i="15"/>
  <c r="H8" i="15"/>
  <c r="H9" i="15"/>
  <c r="H10" i="15"/>
  <c r="H11" i="15"/>
  <c r="H12" i="15"/>
  <c r="H13" i="15"/>
  <c r="H14" i="15"/>
  <c r="H15" i="15"/>
  <c r="H16" i="15"/>
  <c r="H5" i="15"/>
  <c r="E44" i="18" l="1"/>
  <c r="E43" i="18"/>
  <c r="E42" i="18"/>
  <c r="E41" i="18"/>
  <c r="E40" i="18"/>
  <c r="F24" i="18"/>
  <c r="G28" i="18"/>
  <c r="E28" i="18" s="1"/>
  <c r="G29" i="18"/>
  <c r="E29" i="18" s="1"/>
  <c r="G30" i="18"/>
  <c r="E30" i="18" s="1"/>
  <c r="E31" i="18"/>
  <c r="G31" i="18"/>
  <c r="D16" i="18"/>
  <c r="D13" i="18"/>
  <c r="C13" i="18"/>
  <c r="C8" i="18"/>
  <c r="D10" i="18"/>
  <c r="C10" i="18"/>
  <c r="C9" i="18"/>
  <c r="D9" i="18"/>
  <c r="G8" i="23"/>
  <c r="F8" i="23"/>
  <c r="B50" i="23" l="1"/>
  <c r="B49" i="23"/>
  <c r="B48" i="23"/>
  <c r="B47" i="23"/>
  <c r="B46" i="23"/>
  <c r="B45" i="23"/>
  <c r="B44" i="23"/>
  <c r="H8" i="23"/>
  <c r="E8" i="23"/>
  <c r="G5" i="23"/>
  <c r="F5" i="23"/>
  <c r="E5" i="23"/>
  <c r="G4" i="23"/>
  <c r="F4" i="23"/>
  <c r="E4" i="23"/>
  <c r="E6" i="23"/>
  <c r="J8" i="23"/>
  <c r="J6" i="23"/>
  <c r="J5" i="23"/>
  <c r="J4" i="23"/>
  <c r="H4" i="23"/>
  <c r="J3" i="23"/>
  <c r="H3" i="23" l="1"/>
  <c r="G3" i="23" l="1"/>
  <c r="F3" i="23"/>
  <c r="E3" i="23"/>
  <c r="D28" i="29" l="1"/>
  <c r="D27" i="29"/>
  <c r="D26" i="29"/>
  <c r="D24" i="29"/>
  <c r="D22" i="29"/>
  <c r="D21" i="29"/>
  <c r="D20" i="29"/>
  <c r="D23" i="29"/>
  <c r="C28" i="29"/>
  <c r="C27" i="29"/>
  <c r="C26" i="29"/>
  <c r="C24" i="29"/>
  <c r="C22" i="29"/>
  <c r="C21" i="29"/>
  <c r="C20" i="29"/>
  <c r="C23" i="29"/>
  <c r="D13" i="29"/>
  <c r="D12" i="29"/>
  <c r="D11" i="29"/>
  <c r="D10" i="29"/>
  <c r="D8" i="29"/>
  <c r="D6" i="29"/>
  <c r="D5" i="29"/>
  <c r="D4" i="29"/>
  <c r="C13" i="29"/>
  <c r="C12" i="29"/>
  <c r="C11" i="29"/>
  <c r="C10" i="29"/>
  <c r="C8" i="29"/>
  <c r="C6" i="29"/>
  <c r="C5" i="29"/>
  <c r="C4" i="29"/>
  <c r="C25" i="29" l="1"/>
  <c r="C29" i="29" s="1"/>
  <c r="C30" i="29" s="1"/>
  <c r="D25" i="29"/>
  <c r="E67" i="4" l="1"/>
  <c r="E66" i="4"/>
  <c r="E65" i="4"/>
  <c r="E62" i="4"/>
  <c r="E60" i="4"/>
  <c r="E59" i="4"/>
  <c r="E58" i="4"/>
  <c r="E57" i="4"/>
  <c r="E55" i="4"/>
  <c r="E54" i="4"/>
  <c r="E53" i="4"/>
  <c r="E52" i="4"/>
  <c r="E51" i="4"/>
  <c r="E50" i="4"/>
  <c r="D36" i="4" l="1"/>
  <c r="D35" i="4"/>
  <c r="F32" i="4"/>
  <c r="F30" i="4"/>
  <c r="F29" i="4"/>
  <c r="F28" i="4"/>
  <c r="F13" i="4"/>
  <c r="F12" i="4"/>
  <c r="F11" i="4"/>
  <c r="F10" i="4"/>
  <c r="F7" i="4"/>
  <c r="F6" i="4"/>
  <c r="E70" i="13" l="1"/>
  <c r="E68" i="13"/>
  <c r="D68" i="13"/>
  <c r="E64" i="13"/>
  <c r="D64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4" i="13"/>
  <c r="D54" i="13"/>
  <c r="E53" i="13"/>
  <c r="D53" i="13"/>
  <c r="E52" i="13"/>
  <c r="D52" i="13"/>
  <c r="E51" i="13"/>
  <c r="D51" i="13"/>
  <c r="E50" i="13"/>
  <c r="D50" i="13"/>
  <c r="E49" i="13"/>
  <c r="D49" i="13"/>
  <c r="E47" i="13"/>
  <c r="D47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4" i="13"/>
  <c r="D14" i="13"/>
  <c r="E13" i="13"/>
  <c r="D13" i="13"/>
  <c r="E12" i="13"/>
  <c r="D12" i="13"/>
  <c r="E11" i="13"/>
  <c r="D11" i="13"/>
  <c r="E10" i="13"/>
  <c r="D10" i="13"/>
  <c r="E8" i="13"/>
  <c r="D8" i="13"/>
  <c r="E7" i="13"/>
  <c r="D7" i="13"/>
  <c r="E6" i="13"/>
  <c r="D6" i="13"/>
  <c r="E5" i="13"/>
  <c r="D5" i="13"/>
  <c r="E4" i="13"/>
  <c r="D4" i="13"/>
  <c r="D49" i="4" l="1"/>
  <c r="C49" i="4"/>
  <c r="E27" i="4"/>
  <c r="D27" i="4"/>
  <c r="E16" i="4"/>
  <c r="F16" i="4" s="1"/>
  <c r="D16" i="4"/>
  <c r="C64" i="11"/>
  <c r="C63" i="11"/>
  <c r="C62" i="11"/>
  <c r="C61" i="11"/>
  <c r="C60" i="11"/>
  <c r="C59" i="11"/>
  <c r="C58" i="11"/>
  <c r="C53" i="11"/>
  <c r="C52" i="11"/>
  <c r="C51" i="11"/>
  <c r="C50" i="11"/>
  <c r="C49" i="11"/>
  <c r="C48" i="11"/>
  <c r="C47" i="11"/>
  <c r="C46" i="11"/>
  <c r="C41" i="11"/>
  <c r="C40" i="11"/>
  <c r="C39" i="11"/>
  <c r="C38" i="11"/>
  <c r="C37" i="11"/>
  <c r="C36" i="11"/>
  <c r="C35" i="11"/>
  <c r="C25" i="11"/>
  <c r="C24" i="11"/>
  <c r="C23" i="11"/>
  <c r="C22" i="11"/>
  <c r="C21" i="11"/>
  <c r="C20" i="11"/>
  <c r="C19" i="11"/>
  <c r="C18" i="11"/>
  <c r="C17" i="11"/>
  <c r="C14" i="11"/>
  <c r="C12" i="11"/>
  <c r="C11" i="11"/>
  <c r="C10" i="11"/>
  <c r="C9" i="11"/>
  <c r="C8" i="11"/>
  <c r="C7" i="11"/>
  <c r="E64" i="11"/>
  <c r="D64" i="11"/>
  <c r="E62" i="11"/>
  <c r="D62" i="11"/>
  <c r="E61" i="11"/>
  <c r="D61" i="11"/>
  <c r="E60" i="11"/>
  <c r="D60" i="11"/>
  <c r="E59" i="11"/>
  <c r="D59" i="11"/>
  <c r="E58" i="11"/>
  <c r="D58" i="11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E43" i="11"/>
  <c r="D43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C34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4" i="11"/>
  <c r="D14" i="11"/>
  <c r="E12" i="11"/>
  <c r="D12" i="11"/>
  <c r="E11" i="11"/>
  <c r="D11" i="11"/>
  <c r="E10" i="11"/>
  <c r="D10" i="11"/>
  <c r="E9" i="11"/>
  <c r="D9" i="11"/>
  <c r="E8" i="11"/>
  <c r="D8" i="11"/>
  <c r="E7" i="11"/>
  <c r="D7" i="11"/>
  <c r="C6" i="11"/>
  <c r="D6" i="11"/>
  <c r="E6" i="11"/>
  <c r="C29" i="12"/>
  <c r="C26" i="12"/>
  <c r="C19" i="12"/>
  <c r="C16" i="12"/>
  <c r="C15" i="12"/>
  <c r="C14" i="12"/>
  <c r="C13" i="12"/>
  <c r="C11" i="12"/>
  <c r="C10" i="12"/>
  <c r="C8" i="12"/>
  <c r="C7" i="12"/>
  <c r="E26" i="12"/>
  <c r="D26" i="12"/>
  <c r="E21" i="12"/>
  <c r="D21" i="12"/>
  <c r="E19" i="12"/>
  <c r="D19" i="12"/>
  <c r="E16" i="12"/>
  <c r="E15" i="12"/>
  <c r="E14" i="12"/>
  <c r="D14" i="12"/>
  <c r="E13" i="12"/>
  <c r="D13" i="12"/>
  <c r="E11" i="12"/>
  <c r="D11" i="12"/>
  <c r="E10" i="12"/>
  <c r="D10" i="12"/>
  <c r="E9" i="12"/>
  <c r="D9" i="12"/>
  <c r="E8" i="12"/>
  <c r="D8" i="12"/>
  <c r="E7" i="12"/>
  <c r="D7" i="12"/>
  <c r="E6" i="12"/>
  <c r="D6" i="12"/>
  <c r="C5" i="12"/>
  <c r="D5" i="12"/>
  <c r="E5" i="12"/>
  <c r="E49" i="4" l="1"/>
  <c r="F27" i="4"/>
  <c r="D13" i="11"/>
  <c r="D6" i="23"/>
  <c r="D16" i="23" s="1"/>
  <c r="H13" i="23" l="1"/>
  <c r="I21" i="18" l="1"/>
  <c r="D11" i="18"/>
  <c r="C11" i="18"/>
  <c r="H14" i="23" l="1"/>
  <c r="H15" i="23" l="1"/>
  <c r="C5" i="18"/>
  <c r="D5" i="18" l="1"/>
  <c r="G13" i="30"/>
  <c r="E13" i="30" s="1"/>
  <c r="G10" i="30" l="1"/>
  <c r="E10" i="30" s="1"/>
  <c r="D12" i="30"/>
  <c r="C12" i="30"/>
  <c r="G12" i="30" s="1"/>
  <c r="E12" i="30" s="1"/>
  <c r="D11" i="30"/>
  <c r="C7" i="30"/>
  <c r="D7" i="30"/>
  <c r="C9" i="30"/>
  <c r="D9" i="30"/>
  <c r="C4" i="30"/>
  <c r="D4" i="30"/>
  <c r="G9" i="30" l="1"/>
  <c r="E9" i="30" s="1"/>
  <c r="D5" i="30"/>
  <c r="D6" i="30" s="1"/>
  <c r="D8" i="30" s="1"/>
  <c r="G7" i="30"/>
  <c r="E7" i="30" s="1"/>
  <c r="C5" i="30"/>
  <c r="C6" i="30" s="1"/>
  <c r="G4" i="30"/>
  <c r="E4" i="30" s="1"/>
  <c r="C11" i="30"/>
  <c r="G11" i="30" s="1"/>
  <c r="E11" i="30" s="1"/>
  <c r="J70" i="13"/>
  <c r="C8" i="30" l="1"/>
  <c r="G8" i="30" s="1"/>
  <c r="E8" i="30" s="1"/>
  <c r="G6" i="30"/>
  <c r="E6" i="30" s="1"/>
  <c r="G5" i="30"/>
  <c r="E5" i="30" s="1"/>
  <c r="K69" i="13" l="1"/>
  <c r="D29" i="29"/>
  <c r="D30" i="29" s="1"/>
  <c r="G13" i="29"/>
  <c r="E13" i="29" s="1"/>
  <c r="J54" i="13" l="1"/>
  <c r="G13" i="13"/>
  <c r="L10" i="4"/>
  <c r="D7" i="29" l="1"/>
  <c r="D9" i="29" s="1"/>
  <c r="D14" i="29" s="1"/>
  <c r="D15" i="29" s="1"/>
  <c r="C7" i="29"/>
  <c r="C9" i="29" s="1"/>
  <c r="C14" i="29" s="1"/>
  <c r="C15" i="29" s="1"/>
  <c r="G14" i="29" l="1"/>
  <c r="E14" i="29" s="1"/>
  <c r="G12" i="29"/>
  <c r="E12" i="29" s="1"/>
  <c r="G11" i="29"/>
  <c r="E11" i="29" s="1"/>
  <c r="G10" i="29"/>
  <c r="G9" i="29"/>
  <c r="E9" i="29" s="1"/>
  <c r="G8" i="29"/>
  <c r="E8" i="29" s="1"/>
  <c r="G7" i="29"/>
  <c r="E7" i="29" s="1"/>
  <c r="G6" i="29"/>
  <c r="E6" i="29" s="1"/>
  <c r="G5" i="29"/>
  <c r="E5" i="29" s="1"/>
  <c r="D48" i="13" l="1"/>
  <c r="G10" i="24"/>
  <c r="G29" i="29"/>
  <c r="E29" i="29" s="1"/>
  <c r="G28" i="29"/>
  <c r="E28" i="29" s="1"/>
  <c r="G27" i="29"/>
  <c r="E27" i="29" s="1"/>
  <c r="G26" i="29"/>
  <c r="E26" i="29" s="1"/>
  <c r="G25" i="29"/>
  <c r="E25" i="29" s="1"/>
  <c r="G24" i="29"/>
  <c r="E24" i="29" s="1"/>
  <c r="G23" i="29"/>
  <c r="E23" i="29" s="1"/>
  <c r="G22" i="29"/>
  <c r="E22" i="29" s="1"/>
  <c r="G21" i="29"/>
  <c r="E21" i="29" s="1"/>
  <c r="G20" i="29"/>
  <c r="E20" i="29" s="1"/>
  <c r="E55" i="13" l="1"/>
  <c r="D55" i="13"/>
  <c r="F10" i="18"/>
  <c r="E10" i="18" s="1"/>
  <c r="D22" i="13"/>
  <c r="E22" i="13"/>
  <c r="C65" i="4" l="1"/>
  <c r="C62" i="4"/>
  <c r="E32" i="4" l="1"/>
  <c r="E3" i="15" l="1"/>
  <c r="D3" i="17"/>
  <c r="C3" i="17"/>
  <c r="H7" i="23" l="1"/>
  <c r="G7" i="23"/>
  <c r="F7" i="23"/>
  <c r="E7" i="23" l="1"/>
  <c r="C18" i="18" l="1"/>
  <c r="D12" i="12" l="1"/>
  <c r="F13" i="18" l="1"/>
  <c r="E13" i="18" s="1"/>
  <c r="G13" i="24"/>
  <c r="E13" i="24" s="1"/>
  <c r="J21" i="12"/>
  <c r="K21" i="12" s="1"/>
  <c r="C66" i="4"/>
  <c r="D66" i="4"/>
  <c r="G21" i="12"/>
  <c r="H21" i="12" s="1"/>
  <c r="E48" i="13"/>
  <c r="I48" i="13" s="1"/>
  <c r="D44" i="18" l="1"/>
  <c r="C44" i="18"/>
  <c r="G35" i="18" l="1"/>
  <c r="E35" i="18" s="1"/>
  <c r="G34" i="18"/>
  <c r="E34" i="18" s="1"/>
  <c r="D12" i="18" l="1"/>
  <c r="C12" i="18"/>
  <c r="D7" i="18"/>
  <c r="C7" i="18"/>
  <c r="D4" i="18"/>
  <c r="C4" i="18"/>
  <c r="D6" i="18" l="1"/>
  <c r="D8" i="18" s="1"/>
  <c r="C6" i="18"/>
  <c r="E12" i="12"/>
  <c r="C25" i="18"/>
  <c r="F25" i="18"/>
  <c r="G21" i="18" l="1"/>
  <c r="G22" i="18"/>
  <c r="G23" i="18"/>
  <c r="G24" i="18"/>
  <c r="C26" i="18"/>
  <c r="D22" i="18"/>
  <c r="D23" i="18"/>
  <c r="D24" i="18"/>
  <c r="D21" i="18"/>
  <c r="G25" i="18"/>
  <c r="F4" i="18"/>
  <c r="E4" i="18" s="1"/>
  <c r="F5" i="18"/>
  <c r="E5" i="18" s="1"/>
  <c r="F7" i="18"/>
  <c r="E7" i="18" s="1"/>
  <c r="F9" i="18"/>
  <c r="E9" i="18" s="1"/>
  <c r="F11" i="18"/>
  <c r="E11" i="18" s="1"/>
  <c r="F12" i="18"/>
  <c r="E12" i="18" s="1"/>
  <c r="D25" i="18" l="1"/>
  <c r="F6" i="18"/>
  <c r="E6" i="18" s="1"/>
  <c r="F8" i="18"/>
  <c r="E8" i="18" s="1"/>
  <c r="E61" i="4" l="1"/>
  <c r="F18" i="4"/>
  <c r="F31" i="4"/>
  <c r="E18" i="12" l="1"/>
  <c r="D18" i="12"/>
  <c r="H17" i="13" l="1"/>
  <c r="H16" i="13"/>
  <c r="G11" i="8" l="1"/>
  <c r="G7" i="8"/>
  <c r="H9" i="23" l="1"/>
  <c r="H10" i="23" s="1"/>
  <c r="G9" i="23"/>
  <c r="G10" i="23" s="1"/>
  <c r="E9" i="23"/>
  <c r="E10" i="23" s="1"/>
  <c r="F9" i="23" l="1"/>
  <c r="F10" i="23" s="1"/>
  <c r="E15" i="13" l="1"/>
  <c r="D15" i="13"/>
  <c r="E9" i="13"/>
  <c r="D9" i="13"/>
  <c r="D2" i="13"/>
  <c r="E2" i="13"/>
  <c r="G10" i="12"/>
  <c r="H10" i="12" s="1"/>
  <c r="G11" i="12"/>
  <c r="H11" i="12" s="1"/>
  <c r="G14" i="12"/>
  <c r="H14" i="12" s="1"/>
  <c r="G15" i="12"/>
  <c r="H15" i="12" s="1"/>
  <c r="G16" i="12"/>
  <c r="H16" i="12" s="1"/>
  <c r="E31" i="11"/>
  <c r="D31" i="11"/>
  <c r="D23" i="13" l="1"/>
  <c r="E23" i="13"/>
  <c r="G13" i="12"/>
  <c r="H13" i="12" s="1"/>
  <c r="G23" i="13" l="1"/>
  <c r="D4" i="23"/>
  <c r="D14" i="23" s="1"/>
  <c r="D5" i="23"/>
  <c r="D15" i="23" l="1"/>
  <c r="K5" i="23"/>
  <c r="D6" i="24" l="1"/>
  <c r="D8" i="24" s="1"/>
  <c r="C6" i="24"/>
  <c r="C8" i="24" s="1"/>
  <c r="J21" i="18"/>
  <c r="I22" i="18"/>
  <c r="J22" i="18" s="1"/>
  <c r="I23" i="18"/>
  <c r="J23" i="18" s="1"/>
  <c r="I24" i="18"/>
  <c r="J24" i="18" s="1"/>
  <c r="I25" i="18" l="1"/>
  <c r="G5" i="13"/>
  <c r="G6" i="13" l="1"/>
  <c r="D3" i="23" l="1"/>
  <c r="K3" i="23" s="1"/>
  <c r="K4" i="23"/>
  <c r="D8" i="23"/>
  <c r="D17" i="23" s="1"/>
  <c r="D9" i="23" l="1"/>
  <c r="D7" i="23"/>
  <c r="K8" i="23"/>
  <c r="D10" i="23" l="1"/>
  <c r="G13" i="23" s="1"/>
  <c r="B51" i="23"/>
  <c r="C16" i="23" l="1"/>
  <c r="G14" i="23"/>
  <c r="C14" i="23"/>
  <c r="C15" i="23"/>
  <c r="C17" i="23"/>
  <c r="C44" i="23"/>
  <c r="C45" i="23"/>
  <c r="C46" i="23"/>
  <c r="C47" i="23"/>
  <c r="C49" i="23"/>
  <c r="C50" i="23"/>
  <c r="C48" i="23"/>
  <c r="C58" i="23" l="1"/>
  <c r="C54" i="23"/>
  <c r="C57" i="23"/>
  <c r="C59" i="23"/>
  <c r="C60" i="23"/>
  <c r="C51" i="23"/>
  <c r="C61" i="23"/>
  <c r="C55" i="23"/>
  <c r="E20" i="12"/>
  <c r="D20" i="12"/>
  <c r="D23" i="12" s="1"/>
  <c r="D25" i="12" s="1"/>
  <c r="D29" i="12" l="1"/>
  <c r="D30" i="12" s="1"/>
  <c r="C14" i="18"/>
  <c r="D14" i="30"/>
  <c r="E23" i="12"/>
  <c r="E25" i="12" s="1"/>
  <c r="E29" i="12" s="1"/>
  <c r="E30" i="12" s="1"/>
  <c r="C62" i="23"/>
  <c r="C56" i="23"/>
  <c r="E39" i="18"/>
  <c r="C15" i="18" l="1"/>
  <c r="C16" i="18"/>
  <c r="D14" i="18"/>
  <c r="D15" i="18" s="1"/>
  <c r="E27" i="12"/>
  <c r="D27" i="12"/>
  <c r="G3" i="29"/>
  <c r="D3" i="29"/>
  <c r="D19" i="29" s="1"/>
  <c r="C3" i="29"/>
  <c r="C19" i="29" s="1"/>
  <c r="F14" i="18" l="1"/>
  <c r="E14" i="18" s="1"/>
  <c r="G19" i="29"/>
  <c r="G9" i="24" l="1"/>
  <c r="E9" i="24" s="1"/>
  <c r="G11" i="24"/>
  <c r="E11" i="24" s="1"/>
  <c r="G12" i="24"/>
  <c r="E12" i="24" s="1"/>
  <c r="G4" i="29" l="1"/>
  <c r="E4" i="29" s="1"/>
  <c r="G9" i="12" l="1"/>
  <c r="J9" i="12" l="1"/>
  <c r="K9" i="12" s="1"/>
  <c r="H9" i="12"/>
  <c r="D67" i="4"/>
  <c r="C67" i="4"/>
  <c r="D65" i="4"/>
  <c r="E24" i="4" s="1"/>
  <c r="D24" i="4"/>
  <c r="J27" i="4" s="1"/>
  <c r="P50" i="4"/>
  <c r="D62" i="4"/>
  <c r="D60" i="4"/>
  <c r="C60" i="4"/>
  <c r="D59" i="4"/>
  <c r="C59" i="4"/>
  <c r="D58" i="4"/>
  <c r="E21" i="4" s="1"/>
  <c r="C58" i="4"/>
  <c r="D21" i="4" s="1"/>
  <c r="D57" i="4"/>
  <c r="C57" i="4"/>
  <c r="D55" i="4"/>
  <c r="C55" i="4"/>
  <c r="D54" i="4"/>
  <c r="C54" i="4"/>
  <c r="D53" i="4"/>
  <c r="E25" i="4" s="1"/>
  <c r="C53" i="4"/>
  <c r="D25" i="4" s="1"/>
  <c r="J29" i="4" s="1"/>
  <c r="D52" i="4"/>
  <c r="C52" i="4"/>
  <c r="D51" i="4"/>
  <c r="C51" i="4"/>
  <c r="D50" i="4"/>
  <c r="C50" i="4"/>
  <c r="P46" i="4"/>
  <c r="D46" i="4"/>
  <c r="L49" i="4" s="1"/>
  <c r="M49" i="4" s="1"/>
  <c r="C46" i="4"/>
  <c r="J49" i="4" s="1"/>
  <c r="D29" i="4"/>
  <c r="D28" i="4"/>
  <c r="F33" i="4"/>
  <c r="E29" i="4"/>
  <c r="E28" i="4"/>
  <c r="L30" i="4"/>
  <c r="L24" i="4"/>
  <c r="F25" i="4"/>
  <c r="L29" i="4" s="1"/>
  <c r="F24" i="4"/>
  <c r="L27" i="4" s="1"/>
  <c r="F21" i="4"/>
  <c r="F14" i="4"/>
  <c r="F8" i="4"/>
  <c r="L4" i="4"/>
  <c r="J4" i="4"/>
  <c r="J28" i="4" l="1"/>
  <c r="C19" i="10"/>
  <c r="L28" i="4"/>
  <c r="J30" i="4"/>
  <c r="C61" i="4"/>
  <c r="D18" i="4"/>
  <c r="J35" i="4" s="1"/>
  <c r="C56" i="4"/>
  <c r="E18" i="4"/>
  <c r="L35" i="4" s="1"/>
  <c r="F15" i="4"/>
  <c r="D61" i="4"/>
  <c r="D56" i="4"/>
  <c r="K49" i="4"/>
  <c r="O49" i="4" s="1"/>
  <c r="P49" i="4"/>
  <c r="D19" i="4"/>
  <c r="E19" i="4"/>
  <c r="E56" i="4" l="1"/>
  <c r="E64" i="4" s="1"/>
  <c r="F19" i="4"/>
  <c r="P35" i="4"/>
  <c r="C64" i="4"/>
  <c r="D64" i="4"/>
  <c r="F20" i="4" l="1"/>
  <c r="L23" i="4" s="1"/>
  <c r="M23" i="4" s="1"/>
  <c r="E68" i="4"/>
  <c r="E69" i="4" s="1"/>
  <c r="E20" i="4"/>
  <c r="C11" i="10" s="1"/>
  <c r="D68" i="4"/>
  <c r="D69" i="4" s="1"/>
  <c r="E23" i="4" s="1"/>
  <c r="D20" i="4"/>
  <c r="C12" i="10" s="1"/>
  <c r="C68" i="4"/>
  <c r="C69" i="4" s="1"/>
  <c r="L39" i="4" l="1"/>
  <c r="F23" i="4"/>
  <c r="L26" i="4" s="1"/>
  <c r="L32" i="4" s="1"/>
  <c r="E22" i="4" s="1"/>
  <c r="D23" i="4"/>
  <c r="J26" i="4" s="1"/>
  <c r="J32" i="4" s="1"/>
  <c r="D22" i="4" s="1"/>
  <c r="G68" i="13"/>
  <c r="H68" i="13" s="1"/>
  <c r="G67" i="13"/>
  <c r="H67" i="13" s="1"/>
  <c r="G62" i="13"/>
  <c r="H62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H23" i="13"/>
  <c r="G22" i="13"/>
  <c r="H22" i="13" s="1"/>
  <c r="G21" i="13"/>
  <c r="H21" i="13" s="1"/>
  <c r="G20" i="13"/>
  <c r="H20" i="13" s="1"/>
  <c r="G19" i="13"/>
  <c r="H19" i="13" s="1"/>
  <c r="G18" i="13"/>
  <c r="H18" i="13" s="1"/>
  <c r="G15" i="13"/>
  <c r="H15" i="13" s="1"/>
  <c r="G14" i="13"/>
  <c r="H14" i="13" s="1"/>
  <c r="H13" i="13"/>
  <c r="G12" i="13"/>
  <c r="H12" i="13" s="1"/>
  <c r="G11" i="13"/>
  <c r="H11" i="13" s="1"/>
  <c r="G10" i="13"/>
  <c r="H10" i="13" s="1"/>
  <c r="G9" i="13"/>
  <c r="H9" i="13" s="1"/>
  <c r="G8" i="13"/>
  <c r="H8" i="13" s="1"/>
  <c r="G7" i="13"/>
  <c r="H7" i="13" s="1"/>
  <c r="G4" i="13"/>
  <c r="H4" i="13" s="1"/>
  <c r="G26" i="12"/>
  <c r="H26" i="12" s="1"/>
  <c r="G19" i="12"/>
  <c r="H19" i="12" s="1"/>
  <c r="G8" i="12"/>
  <c r="H8" i="12" s="1"/>
  <c r="G7" i="12"/>
  <c r="H7" i="12" s="1"/>
  <c r="G6" i="12"/>
  <c r="H6" i="12" s="1"/>
  <c r="G5" i="12"/>
  <c r="L42" i="4" l="1"/>
  <c r="L45" i="4"/>
  <c r="M45" i="4" s="1"/>
  <c r="H5" i="12"/>
  <c r="M32" i="4"/>
  <c r="F22" i="4" s="1"/>
  <c r="G7" i="24"/>
  <c r="E7" i="24" s="1"/>
  <c r="J8" i="12"/>
  <c r="K8" i="12" s="1"/>
  <c r="J26" i="12"/>
  <c r="K26" i="12" s="1"/>
  <c r="J6" i="12"/>
  <c r="K6" i="12" s="1"/>
  <c r="J19" i="12"/>
  <c r="K19" i="12" s="1"/>
  <c r="J14" i="12"/>
  <c r="K14" i="12" s="1"/>
  <c r="J15" i="12"/>
  <c r="K15" i="12" s="1"/>
  <c r="J11" i="12"/>
  <c r="K11" i="12" s="1"/>
  <c r="J13" i="12"/>
  <c r="K13" i="12" s="1"/>
  <c r="J5" i="12"/>
  <c r="K5" i="12" s="1"/>
  <c r="J10" i="12"/>
  <c r="K10" i="12" s="1"/>
  <c r="J20" i="12" l="1"/>
  <c r="K20" i="12" s="1"/>
  <c r="G5" i="24"/>
  <c r="E5" i="24" s="1"/>
  <c r="J7" i="12"/>
  <c r="K7" i="12" s="1"/>
  <c r="J16" i="12"/>
  <c r="K16" i="12" s="1"/>
  <c r="C14" i="30" l="1"/>
  <c r="G14" i="30" s="1"/>
  <c r="E14" i="30" s="1"/>
  <c r="G14" i="24"/>
  <c r="E14" i="24" s="1"/>
  <c r="J27" i="12"/>
  <c r="K27" i="12" s="1"/>
  <c r="J23" i="12"/>
  <c r="K23" i="12" s="1"/>
  <c r="G8" i="24"/>
  <c r="E8" i="24" s="1"/>
  <c r="G6" i="24"/>
  <c r="E6" i="24" s="1"/>
  <c r="D5" i="17"/>
  <c r="C5" i="17"/>
  <c r="C3" i="8"/>
  <c r="D27" i="18"/>
  <c r="C27" i="18"/>
  <c r="F18" i="18"/>
  <c r="D20" i="8" l="1"/>
  <c r="D3" i="15"/>
  <c r="G5" i="17"/>
  <c r="C4" i="17"/>
  <c r="D4" i="17"/>
  <c r="G4" i="17" l="1"/>
  <c r="D33" i="18"/>
  <c r="D39" i="18" s="1"/>
  <c r="C33" i="18"/>
  <c r="C39" i="18" s="1"/>
  <c r="G18" i="12"/>
  <c r="J18" i="12" l="1"/>
  <c r="K18" i="12" s="1"/>
  <c r="H18" i="12"/>
  <c r="G20" i="12"/>
  <c r="H20" i="12" s="1"/>
  <c r="G4" i="24"/>
  <c r="E4" i="24" s="1"/>
  <c r="D13" i="23"/>
  <c r="C13" i="23" s="1"/>
  <c r="J25" i="18" l="1"/>
  <c r="F26" i="18"/>
  <c r="G23" i="12"/>
  <c r="H23" i="12" s="1"/>
  <c r="G25" i="12" l="1"/>
  <c r="H25" i="12" s="1"/>
  <c r="G27" i="12"/>
  <c r="H27" i="12" s="1"/>
  <c r="J25" i="12" l="1"/>
  <c r="K25" i="12" s="1"/>
  <c r="B19" i="10"/>
  <c r="B18" i="10"/>
  <c r="B17" i="10"/>
  <c r="B13" i="10"/>
  <c r="B20" i="10" s="1"/>
  <c r="B12" i="10"/>
  <c r="B11" i="10"/>
  <c r="B10" i="10"/>
  <c r="C18" i="23" l="1"/>
  <c r="B17" i="23"/>
  <c r="B14" i="23"/>
  <c r="B13" i="23"/>
  <c r="E4" i="17" l="1"/>
  <c r="E5" i="17"/>
  <c r="D16" i="15"/>
  <c r="G15" i="23" l="1"/>
  <c r="E16" i="15"/>
  <c r="E11" i="15" l="1"/>
  <c r="E15" i="15"/>
  <c r="C3" i="10" l="1"/>
  <c r="C17" i="10" l="1"/>
  <c r="C18" i="10" l="1"/>
  <c r="C4" i="10" l="1"/>
  <c r="C20" i="10"/>
  <c r="J24" i="4" s="1"/>
  <c r="Q24" i="4" l="1"/>
  <c r="P24" i="4"/>
  <c r="C10" i="10"/>
  <c r="C13" i="10" s="1"/>
  <c r="J23" i="4" s="1"/>
  <c r="K23" i="4" l="1"/>
  <c r="C5" i="10"/>
  <c r="C6" i="10" s="1"/>
  <c r="J39" i="4" s="1"/>
  <c r="P23" i="4" l="1"/>
  <c r="O23" i="4"/>
  <c r="Q23" i="4"/>
  <c r="P39" i="4" l="1"/>
  <c r="Q39" i="4"/>
  <c r="J42" i="4"/>
  <c r="D11" i="15"/>
  <c r="Q42" i="4" l="1"/>
  <c r="J45" i="4"/>
  <c r="K45" i="4" s="1"/>
  <c r="O45" i="4" s="1"/>
  <c r="P42" i="4"/>
  <c r="P45" i="4" l="1"/>
  <c r="D15" i="15"/>
  <c r="D12" i="4" l="1"/>
  <c r="C13" i="8"/>
  <c r="D26" i="11" l="1"/>
  <c r="D15" i="11"/>
  <c r="C4" i="8" s="1"/>
  <c r="D54" i="11" l="1"/>
  <c r="C9" i="8" s="1"/>
  <c r="D42" i="11"/>
  <c r="D63" i="11"/>
  <c r="D7" i="4"/>
  <c r="C5" i="8"/>
  <c r="C6" i="8" l="1"/>
  <c r="D11" i="4"/>
  <c r="J20" i="4" s="1"/>
  <c r="D65" i="11"/>
  <c r="D13" i="4"/>
  <c r="C12" i="8"/>
  <c r="D28" i="11"/>
  <c r="D6" i="4"/>
  <c r="D44" i="11"/>
  <c r="C8" i="8"/>
  <c r="C10" i="8" s="1"/>
  <c r="J7" i="4" l="1"/>
  <c r="D8" i="4"/>
  <c r="D56" i="11"/>
  <c r="D10" i="4"/>
  <c r="C14" i="8"/>
  <c r="J15" i="4"/>
  <c r="J14" i="4" l="1"/>
  <c r="J8" i="4"/>
  <c r="K7" i="4" s="1"/>
  <c r="D67" i="11"/>
  <c r="D69" i="11" s="1"/>
  <c r="D14" i="4"/>
  <c r="D15" i="4" s="1"/>
  <c r="J11" i="4"/>
  <c r="J17" i="4"/>
  <c r="J18" i="4"/>
  <c r="C15" i="8"/>
  <c r="C17" i="8" s="1"/>
  <c r="K14" i="4" l="1"/>
  <c r="J21" i="4"/>
  <c r="D5" i="15"/>
  <c r="K17" i="4"/>
  <c r="K20" i="4" l="1"/>
  <c r="D9" i="15"/>
  <c r="D8" i="15"/>
  <c r="D10" i="15" l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F34" i="4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42" i="11" l="1"/>
  <c r="E44" i="11" s="1"/>
  <c r="E54" i="11"/>
  <c r="D9" i="8" s="1"/>
  <c r="E26" i="11"/>
  <c r="E7" i="4" s="1"/>
  <c r="E12" i="4"/>
  <c r="D13" i="8"/>
  <c r="G64" i="11"/>
  <c r="H64" i="11" s="1"/>
  <c r="E63" i="11"/>
  <c r="G58" i="11"/>
  <c r="H58" i="11" s="1"/>
  <c r="E15" i="11"/>
  <c r="D4" i="8" s="1"/>
  <c r="G13" i="11"/>
  <c r="H13" i="11" s="1"/>
  <c r="E11" i="4" l="1"/>
  <c r="L20" i="4" s="1"/>
  <c r="P20" i="4" s="1"/>
  <c r="G42" i="11"/>
  <c r="H42" i="11" s="1"/>
  <c r="D8" i="8"/>
  <c r="D10" i="8" s="1"/>
  <c r="G54" i="11"/>
  <c r="H54" i="11" s="1"/>
  <c r="G26" i="11"/>
  <c r="H26" i="11" s="1"/>
  <c r="D5" i="8"/>
  <c r="E5" i="8" s="1"/>
  <c r="G4" i="8"/>
  <c r="E4" i="8"/>
  <c r="E28" i="11"/>
  <c r="G28" i="11" s="1"/>
  <c r="H28" i="11" s="1"/>
  <c r="E6" i="4"/>
  <c r="G15" i="11"/>
  <c r="H15" i="11" s="1"/>
  <c r="E65" i="11"/>
  <c r="G65" i="11" s="1"/>
  <c r="H65" i="11" s="1"/>
  <c r="E13" i="4"/>
  <c r="D12" i="8"/>
  <c r="D14" i="8" s="1"/>
  <c r="G63" i="11"/>
  <c r="H63" i="11" s="1"/>
  <c r="E56" i="11"/>
  <c r="E10" i="4"/>
  <c r="G44" i="11"/>
  <c r="H44" i="11" s="1"/>
  <c r="G9" i="8"/>
  <c r="E9" i="8"/>
  <c r="E13" i="8"/>
  <c r="G13" i="8"/>
  <c r="Q20" i="4" l="1"/>
  <c r="E8" i="8"/>
  <c r="G8" i="8"/>
  <c r="G5" i="8"/>
  <c r="D6" i="8"/>
  <c r="E6" i="8" s="1"/>
  <c r="E12" i="8"/>
  <c r="G12" i="8"/>
  <c r="L7" i="4"/>
  <c r="Q7" i="4" s="1"/>
  <c r="E8" i="4"/>
  <c r="L11" i="4"/>
  <c r="L18" i="4"/>
  <c r="E14" i="4"/>
  <c r="L14" i="4"/>
  <c r="L8" i="4"/>
  <c r="L17" i="4"/>
  <c r="L40" i="4"/>
  <c r="M39" i="4" s="1"/>
  <c r="E13" i="15" s="1"/>
  <c r="J40" i="4"/>
  <c r="L15" i="4"/>
  <c r="E67" i="11"/>
  <c r="G56" i="11"/>
  <c r="H56" i="11" s="1"/>
  <c r="D15" i="8"/>
  <c r="E14" i="8"/>
  <c r="G14" i="8"/>
  <c r="G10" i="8"/>
  <c r="E10" i="8"/>
  <c r="G6" i="8" l="1"/>
  <c r="P15" i="4"/>
  <c r="Q15" i="4"/>
  <c r="M7" i="4"/>
  <c r="P8" i="4"/>
  <c r="Q8" i="4"/>
  <c r="M10" i="4"/>
  <c r="P11" i="4"/>
  <c r="Q11" i="4"/>
  <c r="E15" i="8"/>
  <c r="G15" i="8"/>
  <c r="P40" i="4"/>
  <c r="Q40" i="4"/>
  <c r="K39" i="4"/>
  <c r="M14" i="4"/>
  <c r="Q14" i="4"/>
  <c r="P14" i="4"/>
  <c r="J43" i="4"/>
  <c r="E15" i="4"/>
  <c r="L43" i="4"/>
  <c r="M42" i="4" s="1"/>
  <c r="E14" i="15" s="1"/>
  <c r="P7" i="4"/>
  <c r="E69" i="11"/>
  <c r="G67" i="11"/>
  <c r="H67" i="11" s="1"/>
  <c r="M17" i="4"/>
  <c r="Q17" i="4"/>
  <c r="P17" i="4"/>
  <c r="L21" i="4"/>
  <c r="Q18" i="4"/>
  <c r="P18" i="4"/>
  <c r="D17" i="8"/>
  <c r="O17" i="4" l="1"/>
  <c r="M20" i="4"/>
  <c r="P21" i="4"/>
  <c r="Q21" i="4"/>
  <c r="O7" i="4"/>
  <c r="E8" i="15"/>
  <c r="O14" i="4"/>
  <c r="P43" i="4"/>
  <c r="Q43" i="4"/>
  <c r="K42" i="4"/>
  <c r="D13" i="15"/>
  <c r="O39" i="4"/>
  <c r="O20" i="4" l="1"/>
  <c r="O42" i="4"/>
  <c r="D14" i="15"/>
  <c r="D65" i="13" l="1"/>
  <c r="D66" i="13" s="1"/>
  <c r="D69" i="13" l="1"/>
  <c r="D30" i="4"/>
  <c r="D31" i="4" l="1"/>
  <c r="C6" i="17"/>
  <c r="C7" i="17" l="1"/>
  <c r="G63" i="13" l="1"/>
  <c r="H63" i="13" s="1"/>
  <c r="E65" i="13"/>
  <c r="E66" i="13" s="1"/>
  <c r="G64" i="13"/>
  <c r="H64" i="13" s="1"/>
  <c r="E69" i="13" l="1"/>
  <c r="E71" i="13" s="1"/>
  <c r="D70" i="13" s="1"/>
  <c r="G66" i="13"/>
  <c r="H66" i="13" s="1"/>
  <c r="E30" i="4"/>
  <c r="G65" i="13"/>
  <c r="H65" i="13" s="1"/>
  <c r="D32" i="4" l="1"/>
  <c r="D33" i="4" s="1"/>
  <c r="G70" i="13"/>
  <c r="H70" i="13" s="1"/>
  <c r="D71" i="13"/>
  <c r="D73" i="13" s="1"/>
  <c r="E31" i="4"/>
  <c r="E33" i="4" s="1"/>
  <c r="D8" i="17" s="1"/>
  <c r="D9" i="17" s="1"/>
  <c r="D6" i="17"/>
  <c r="G69" i="13"/>
  <c r="H69" i="13" s="1"/>
  <c r="J10" i="4" l="1"/>
  <c r="C8" i="17"/>
  <c r="C9" i="17" s="1"/>
  <c r="D34" i="4"/>
  <c r="G71" i="13"/>
  <c r="H71" i="13" s="1"/>
  <c r="E73" i="13"/>
  <c r="D7" i="17"/>
  <c r="E6" i="17"/>
  <c r="G6" i="17"/>
  <c r="G8" i="17" l="1"/>
  <c r="E8" i="17"/>
  <c r="Q10" i="4"/>
  <c r="P10" i="4"/>
  <c r="K10" i="4"/>
  <c r="G7" i="17"/>
  <c r="E7" i="17"/>
  <c r="D6" i="15" l="1"/>
  <c r="O10" i="4"/>
</calcChain>
</file>

<file path=xl/sharedStrings.xml><?xml version="1.0" encoding="utf-8"?>
<sst xmlns="http://schemas.openxmlformats.org/spreadsheetml/2006/main" count="569" uniqueCount="412">
  <si>
    <t>Pasivos corrientes</t>
  </si>
  <si>
    <t>Pasivos no corrientes</t>
  </si>
  <si>
    <t>Activos corrientes</t>
  </si>
  <si>
    <t>Activos no corrientes</t>
  </si>
  <si>
    <t xml:space="preserve"> </t>
  </si>
  <si>
    <t>INDICADORES FINANCIEROS</t>
  </si>
  <si>
    <t>BALANCE</t>
  </si>
  <si>
    <t>LIQUIDEZ</t>
  </si>
  <si>
    <t>M$</t>
  </si>
  <si>
    <t>LIQUIDEZ CORRIENTE</t>
  </si>
  <si>
    <t>=</t>
  </si>
  <si>
    <t>TOTAL</t>
  </si>
  <si>
    <t>RAZON ACIDA</t>
  </si>
  <si>
    <t>ENDEUDAMIENTO</t>
  </si>
  <si>
    <t>ENDEUDAMIENTO TOTAL</t>
  </si>
  <si>
    <t xml:space="preserve">Pasivo exigible </t>
  </si>
  <si>
    <t>EERR</t>
  </si>
  <si>
    <t>DEUDA A CORTO PLAZO</t>
  </si>
  <si>
    <t xml:space="preserve">Deuda total </t>
  </si>
  <si>
    <t>DEUDA A LARGO PLAZO</t>
  </si>
  <si>
    <t>COBERTURA DE GASTOS FINANCIEROS</t>
  </si>
  <si>
    <t>Resultado antes de imptos e intereses</t>
  </si>
  <si>
    <t>GASTOS FINANCIEROS</t>
  </si>
  <si>
    <t>Gastos financieros</t>
  </si>
  <si>
    <t>R.A.I.I.D.A.I.E.</t>
  </si>
  <si>
    <t>UTILIDAD DESPUES DE IMPUESTO</t>
  </si>
  <si>
    <t>Impuesto Renta</t>
  </si>
  <si>
    <t>R.A.I.I.D.A.I.E</t>
  </si>
  <si>
    <t>Flujo neto total del período</t>
  </si>
  <si>
    <t xml:space="preserve"> Impuestos</t>
  </si>
  <si>
    <t xml:space="preserve"> Intereses (Gastos financieros)</t>
  </si>
  <si>
    <t>Saldo inicial de Efectivo</t>
  </si>
  <si>
    <t>Saldo final del Efectivo</t>
  </si>
  <si>
    <t xml:space="preserve">Items extrordinarios </t>
  </si>
  <si>
    <t xml:space="preserve">RENTABILIDAD </t>
  </si>
  <si>
    <t>RENTABILIDAD DEL PATRIMONIO</t>
  </si>
  <si>
    <t>Utilidad o pérdida del ejercicio</t>
  </si>
  <si>
    <t>RENTABILIDAD DEL ACTIVO</t>
  </si>
  <si>
    <t>Total Activos (promedios)</t>
  </si>
  <si>
    <t>UTILIDAD POR ACCION</t>
  </si>
  <si>
    <t xml:space="preserve">Resultado </t>
  </si>
  <si>
    <t xml:space="preserve">N° de acciones suscritas y pagadas </t>
  </si>
  <si>
    <t>RETORNO DE DIVIDENDOS</t>
  </si>
  <si>
    <t xml:space="preserve">Dividendos pagados </t>
  </si>
  <si>
    <t xml:space="preserve">Precio mercado acción </t>
  </si>
  <si>
    <t>Activo corriente</t>
  </si>
  <si>
    <t>Pasivo corriente</t>
  </si>
  <si>
    <t>ACTIVO CORRIENTE</t>
  </si>
  <si>
    <t>ACTIVO NO  CORRIENTE</t>
  </si>
  <si>
    <t>PASIVO NO CORRIENTE</t>
  </si>
  <si>
    <t>PASIVO  CORRIENTE</t>
  </si>
  <si>
    <t>PARTICIPACION MINORITARIOS</t>
  </si>
  <si>
    <t>Flujo de actividades de operaciones</t>
  </si>
  <si>
    <t>Flujo de actividades de inversión</t>
  </si>
  <si>
    <t>Flujo de actividades de financiación</t>
  </si>
  <si>
    <t>Saldo flujo de caja y efectivo</t>
  </si>
  <si>
    <t>Pasivo no corriente</t>
  </si>
  <si>
    <t xml:space="preserve"> Utilidad </t>
  </si>
  <si>
    <t>Ingresos de explotacion</t>
  </si>
  <si>
    <t>Ingresos Ordinarios, Total</t>
  </si>
  <si>
    <t>Costo de Ventas</t>
  </si>
  <si>
    <t>Depreciacion  y amoritzaciones</t>
  </si>
  <si>
    <t>Depreciación y amortización</t>
  </si>
  <si>
    <t>Interes minoritarios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</si>
  <si>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</si>
  <si>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</si>
  <si>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</si>
  <si>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</si>
  <si>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</si>
  <si>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</si>
  <si>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</si>
  <si>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</si>
  <si>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</si>
  <si>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</si>
  <si>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FLUJO</t>
  </si>
  <si>
    <t>Utilidad antes de impuestos (incluye minoritario)</t>
  </si>
  <si>
    <t>Resultado de Explotacion</t>
  </si>
  <si>
    <t>Ingresos Financieros</t>
  </si>
  <si>
    <t>Costos Financieros</t>
  </si>
  <si>
    <t>Diferencia de Cambio</t>
  </si>
  <si>
    <t>Resultado por Unidades Reajustables</t>
  </si>
  <si>
    <t>Resultado Financiero</t>
  </si>
  <si>
    <t>Otros Gastos Distintos de la Operación</t>
  </si>
  <si>
    <t>Resultado antes de Impuesto</t>
  </si>
  <si>
    <t>Impuestos a las Ganancias</t>
  </si>
  <si>
    <t>Interes Minoritario</t>
  </si>
  <si>
    <t>Resultado del Ejercicio</t>
  </si>
  <si>
    <t>Ganancias en venta de activos no corrientes</t>
  </si>
  <si>
    <t>GANANCIAS  tenedores de instrumentos</t>
  </si>
  <si>
    <t>Productos no regulados no sanitarios</t>
  </si>
  <si>
    <t>Patrimonio promedio controladora</t>
  </si>
  <si>
    <t>Gastos por beneficios a los empleados</t>
  </si>
  <si>
    <t>Gastos por depreciación y amortización</t>
  </si>
  <si>
    <t>Otros gastos, por naturaleza</t>
  </si>
  <si>
    <t>Patrimonio atribuible a los propietarios de la controladora</t>
  </si>
  <si>
    <t>Participaciones no controladoras</t>
  </si>
  <si>
    <t>Patrimonio total</t>
  </si>
  <si>
    <t>Ingresos financieros</t>
  </si>
  <si>
    <t>PATRIMONIO CONTROLADORA</t>
  </si>
  <si>
    <t xml:space="preserve">Ingresos  de actividades ordinarias, total </t>
  </si>
  <si>
    <t>Materias primas y consumibles utilizados</t>
  </si>
  <si>
    <t>Reversión de pérdidas  por deterioro de valor (pérdidas por deterioro de valor)  reconocidas en el resultado del período</t>
  </si>
  <si>
    <t>Otros gastos</t>
  </si>
  <si>
    <t>Ganancia atribuible a los propietarios de la controladora</t>
  </si>
  <si>
    <t>Acum Junio 2010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</si>
  <si>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</si>
  <si>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</si>
  <si>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</si>
  <si>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</si>
  <si>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</si>
  <si>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</si>
  <si>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</si>
  <si>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</si>
  <si>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</si>
  <si>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</si>
  <si>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</si>
  <si>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Plusvalía</t>
  </si>
  <si>
    <t>TOTAL DE ACTIVOS NO CORRIENTES</t>
  </si>
  <si>
    <t>PATRIMONIO Y PASIVOS</t>
  </si>
  <si>
    <t>PASIVOS CORRIENTES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</si>
  <si>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</si>
  <si>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</si>
  <si>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</si>
  <si>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</si>
  <si>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</si>
  <si>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</si>
  <si>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</si>
  <si>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</si>
  <si>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Capital emitido</t>
  </si>
  <si>
    <t>Otras participaciones en el patrimonio</t>
  </si>
  <si>
    <t>Ganancia</t>
  </si>
  <si>
    <t xml:space="preserve">Ganancia </t>
  </si>
  <si>
    <t xml:space="preserve">Ganancias por acción básica </t>
  </si>
  <si>
    <t>Clases de cobros por actividades de operación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</si>
  <si>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</si>
  <si>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</si>
  <si>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</si>
  <si>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</si>
  <si>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</si>
  <si>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</si>
  <si>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</si>
  <si>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</si>
  <si>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</si>
  <si>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</si>
  <si>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</si>
  <si>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</si>
  <si>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</si>
  <si>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</si>
  <si>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</si>
  <si>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</si>
  <si>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</si>
  <si>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</si>
  <si>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</si>
  <si>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</si>
  <si>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</si>
  <si>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</si>
  <si>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</si>
  <si>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</si>
  <si>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</si>
  <si>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</si>
  <si>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</si>
  <si>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</si>
  <si>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</si>
  <si>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</si>
  <si>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</si>
  <si>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</si>
  <si>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</si>
  <si>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</si>
  <si>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</si>
  <si>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</si>
  <si>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</si>
  <si>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</si>
  <si>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</si>
  <si>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</si>
  <si>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</si>
  <si>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</si>
  <si>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</si>
  <si>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Aguas del Maipo S.A.</t>
  </si>
  <si>
    <t>Ingresos Ordinarios</t>
  </si>
  <si>
    <t>Aguas Andinas Consolidado</t>
  </si>
  <si>
    <t>Análisis Razonado</t>
  </si>
  <si>
    <t>RESULTADO POR NATURALEZA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</si>
  <si>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</si>
  <si>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</si>
  <si>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</si>
  <si>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</si>
  <si>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</si>
  <si>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</si>
  <si>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</si>
  <si>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</si>
  <si>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</si>
  <si>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</si>
  <si>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</si>
  <si>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</si>
  <si>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</si>
  <si>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</si>
  <si>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</si>
  <si>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</si>
  <si>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</si>
  <si>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</si>
  <si>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</si>
  <si>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</si>
  <si>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</si>
  <si>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</si>
  <si>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</si>
  <si>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</si>
  <si>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</si>
  <si>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</si>
  <si>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</si>
  <si>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</si>
  <si>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</si>
  <si>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</si>
  <si>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</si>
  <si>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</si>
  <si>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</si>
  <si>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</si>
  <si>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</si>
  <si>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</si>
  <si>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</si>
  <si>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</si>
  <si>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</si>
  <si>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</si>
  <si>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</si>
  <si>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Estado de Flujo de efectivo directo</t>
  </si>
  <si>
    <t>Clases de pagos en efectivo procedentes de actividades de operación</t>
  </si>
  <si>
    <t>Recursos por ventas de otros activos a largo plazo</t>
  </si>
  <si>
    <t>Cobros a entidades relacionadas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</si>
  <si>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</si>
  <si>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</si>
  <si>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</si>
  <si>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</si>
  <si>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</si>
  <si>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Gasto por impuestos</t>
  </si>
  <si>
    <t>Interconexiones*</t>
  </si>
  <si>
    <t>Bonos</t>
  </si>
  <si>
    <t>Préstamos</t>
  </si>
  <si>
    <t>Importes procedentes de ventas de activos intangibles</t>
  </si>
  <si>
    <t>Otros pasivos no financieros</t>
  </si>
  <si>
    <t>Variación en</t>
  </si>
  <si>
    <t>Periodo</t>
  </si>
  <si>
    <t>Trimestre</t>
  </si>
  <si>
    <t>Estado de Resultados (M$)</t>
  </si>
  <si>
    <t>(M$)</t>
  </si>
  <si>
    <t>Inversiones (M$)</t>
  </si>
  <si>
    <t>Composición por instrumento</t>
  </si>
  <si>
    <t>Composición por tasas</t>
  </si>
  <si>
    <t>Otros activos financieros</t>
  </si>
  <si>
    <t>Derechos por cobrar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</si>
  <si>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</si>
  <si>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</si>
  <si>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</si>
  <si>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</si>
  <si>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</si>
  <si>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>Ganancia antes de impuestos</t>
  </si>
  <si>
    <t>Ganancia procedente de operaciones continuadas</t>
  </si>
  <si>
    <t>Ganancia atribuible a</t>
  </si>
  <si>
    <t xml:space="preserve">Ganancias por acción 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</si>
  <si>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</si>
  <si>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</si>
  <si>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</si>
  <si>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</si>
  <si>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</si>
  <si>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</si>
  <si>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Otros ingresos regulados</t>
  </si>
  <si>
    <t>Ingresos no-regulados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</si>
  <si>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</si>
  <si>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</si>
  <si>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</si>
  <si>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</si>
  <si>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</si>
  <si>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</si>
  <si>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</si>
  <si>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</si>
  <si>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t>Tratamiento y disposición 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</si>
  <si>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</si>
  <si>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</si>
  <si>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</si>
  <si>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</si>
  <si>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</si>
  <si>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>Dividendos: indicar pago últimos 12 meses histórico</t>
  </si>
  <si>
    <t xml:space="preserve">      % Var.</t>
  </si>
  <si>
    <t>Pasivo por arrendamientos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</si>
  <si>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</si>
  <si>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</si>
  <si>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</si>
  <si>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</si>
  <si>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https://www.bolsadesantiago.com/#/cierre_bursatil</t>
  </si>
  <si>
    <t>Otras (Pérdidas) Ganancias</t>
  </si>
  <si>
    <t>Control</t>
  </si>
  <si>
    <t>Saldos contables</t>
  </si>
  <si>
    <t>TOTAL ACTIVO</t>
  </si>
  <si>
    <t>Anam S.A.</t>
  </si>
  <si>
    <t>Ganancias por acción básica en operaciones continuadas ($)</t>
  </si>
  <si>
    <t>Importes procedentes de ventas de propiedades, planta y equipo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</si>
  <si>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</si>
  <si>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</si>
  <si>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</si>
  <si>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</si>
  <si>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Miles $</t>
  </si>
  <si>
    <t>Bono</t>
  </si>
  <si>
    <t>AFR</t>
  </si>
  <si>
    <t>Pasivo por arrendamiento</t>
  </si>
  <si>
    <t>Préstamos bancarios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</si>
  <si>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</si>
  <si>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</si>
  <si>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</si>
  <si>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</si>
  <si>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</si>
  <si>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Participación en las ganancias (pérdidas) de asociadas y negocion conjuntos</t>
  </si>
  <si>
    <t>Ganancia (pérdida) procedente de operaciones discontinuadas</t>
  </si>
  <si>
    <t>Flujos de efectivo procedentes (utilizados en) operaciones</t>
  </si>
  <si>
    <t>Flujos de efectivo procedentes de (utilizados en) actividades de operación</t>
  </si>
  <si>
    <t>Importes procedentes de préstamos, clasificados como actividades de financiación</t>
  </si>
  <si>
    <t>Flujos de efectivo procedentes de (utilizados en) actividades de financiación</t>
  </si>
  <si>
    <t xml:space="preserve">Incremento (disminución) en el efectivo y equivalentes al efectivo, antes del efecto de los cambios en la tasa de cambio </t>
  </si>
  <si>
    <t>Operaciones discontinuadas</t>
  </si>
  <si>
    <t>&lt;(200%)</t>
  </si>
  <si>
    <t>Total otros pasivos financieros</t>
  </si>
  <si>
    <t>Total pasivos por arrendamiento</t>
  </si>
  <si>
    <t>&gt;200%</t>
  </si>
  <si>
    <t>Otras reservas</t>
  </si>
  <si>
    <t xml:space="preserve">Pérdidas por deterioro de valor </t>
  </si>
  <si>
    <t>4T20</t>
  </si>
  <si>
    <t>4T20 - 4T19</t>
  </si>
  <si>
    <t>Pérdidas por deterioro de valor</t>
  </si>
  <si>
    <t>Aspectos financieros al 31-03-2021</t>
  </si>
  <si>
    <t>4T21</t>
  </si>
  <si>
    <t xml:space="preserve">venta de materiales </t>
  </si>
  <si>
    <t>Dic-21</t>
  </si>
  <si>
    <t>afr</t>
  </si>
  <si>
    <t xml:space="preserve">pago de AFR </t>
  </si>
  <si>
    <t>pago de bono</t>
  </si>
  <si>
    <t xml:space="preserve">aumento de tasa en los instrumentos de renta fija </t>
  </si>
  <si>
    <t>Menor inversión</t>
  </si>
  <si>
    <t xml:space="preserve">Colocacion Bonos </t>
  </si>
  <si>
    <t xml:space="preserve">Mayor facturacion por consumo periodo verano </t>
  </si>
  <si>
    <t>Reclasificacion activacion Repuestos de Activo fijo</t>
  </si>
  <si>
    <t xml:space="preserve">Provisión intereses bonos - AFR </t>
  </si>
  <si>
    <t xml:space="preserve">Avance obra menor pago proveedores </t>
  </si>
  <si>
    <t>2T21</t>
  </si>
  <si>
    <t>2T22</t>
  </si>
  <si>
    <t>2T22 – 2T21</t>
  </si>
  <si>
    <t>Hidrogistica S.A.</t>
  </si>
  <si>
    <t>Acum dic 2022</t>
  </si>
  <si>
    <t>AR</t>
  </si>
  <si>
    <t xml:space="preserve">Derivado </t>
  </si>
  <si>
    <t>Dic-22</t>
  </si>
  <si>
    <t>Mes de pago: dic 22</t>
  </si>
  <si>
    <t>Mes de pago: mar 22</t>
  </si>
  <si>
    <t xml:space="preserve">EUR </t>
  </si>
  <si>
    <t xml:space="preserve">Forward </t>
  </si>
  <si>
    <t>Gasto por depreciación y amortización</t>
  </si>
  <si>
    <t>Ganancias por deterioro y reversos de pérdidas por deterioro (Pérdidas por deterioro) determinado de acuerdo con NIIF 9  sobre activos financieros</t>
  </si>
  <si>
    <t>Costos financieros</t>
  </si>
  <si>
    <t>Resultado por unidades reajustables</t>
  </si>
  <si>
    <t>Gastos por impuestos a las ganancias</t>
  </si>
  <si>
    <t>Ganancia, atribuible a participaciones no controladoras</t>
  </si>
  <si>
    <t>Activos por impuestos corrientes</t>
  </si>
  <si>
    <t>Activos no corrientes mantenidos para la venta</t>
  </si>
  <si>
    <t>Propiedades, plantas y equipos</t>
  </si>
  <si>
    <t>Activos por impuestos diferidos</t>
  </si>
  <si>
    <t>Cuentas por pagar comerciales y otras cuentas por pagar</t>
  </si>
  <si>
    <t>Provisiones corrientes por beneficios a los empleados</t>
  </si>
  <si>
    <t>Pasivos incluidos en grupos de activos para su disposición clasificados como mantenidos para la venta</t>
  </si>
  <si>
    <t>Provisiones no corrientes por beneficios a los empleados</t>
  </si>
  <si>
    <t>Ganancias (perdidas) acumuladas</t>
  </si>
  <si>
    <t>Primas de emisión</t>
  </si>
  <si>
    <t>Otros activos no financieros no corrientes</t>
  </si>
  <si>
    <t>Otros activos financieros no corrientes</t>
  </si>
  <si>
    <t>Cuentas por pagar a entidades relacionadas no corrientes</t>
  </si>
  <si>
    <t>Otros pasivos financieros no corrientes</t>
  </si>
  <si>
    <t xml:space="preserve">Otros pasivos financieros </t>
  </si>
  <si>
    <t>Pasivos por arrendamientos no corrientes</t>
  </si>
  <si>
    <t>Otros pasivos no financieros no corrientes</t>
  </si>
  <si>
    <t>Otras provisiones no corrientes</t>
  </si>
  <si>
    <t>Dic-23</t>
  </si>
  <si>
    <t>Dic 23 -Dic 22</t>
  </si>
  <si>
    <t>Dic 22 - Dic 21</t>
  </si>
  <si>
    <t>Acum dic 2023</t>
  </si>
  <si>
    <t>Ejercicio 2022</t>
  </si>
  <si>
    <t>Dic. 23</t>
  </si>
  <si>
    <t xml:space="preserve">     Dic. 22</t>
  </si>
  <si>
    <t xml:space="preserve">Impuestos a las ganancias (pagados) </t>
  </si>
  <si>
    <t>Dividendos pagados - actividades de operación</t>
  </si>
  <si>
    <t>Dividendos recibidos - actividades de operación</t>
  </si>
  <si>
    <t>Intereses pagados - actividades de operación</t>
  </si>
  <si>
    <t>Intereses recibidos - actividades de operación</t>
  </si>
  <si>
    <t>Otras entradas (salidas) de efectivo - actividades de operación</t>
  </si>
  <si>
    <t>Importes procedentes de subvenciones del gobierno - inversión</t>
  </si>
  <si>
    <t>Impuestos a las ganancias reembolsados (pagados) - inversión</t>
  </si>
  <si>
    <t>Otras entradas (salidas) de efectivo - inversión</t>
  </si>
  <si>
    <t>Efectos de la variación en la tasa de cambio sobre el efectivo y equivalentes al efectivo.</t>
  </si>
  <si>
    <t>31-12-2022</t>
  </si>
  <si>
    <t>Mes de pago: dic 23</t>
  </si>
  <si>
    <t>Mes de pago: abr 23</t>
  </si>
  <si>
    <t xml:space="preserve">         Dic. 22</t>
  </si>
  <si>
    <t>2023 / 2022</t>
  </si>
  <si>
    <t>Interes minoritario</t>
  </si>
  <si>
    <t>Periodo dic 2023 - dic 2022</t>
  </si>
  <si>
    <t>Bonos/Derivado</t>
  </si>
  <si>
    <r>
      <t xml:space="preserve">    </t>
    </r>
    <r>
      <rPr>
        <sz val="11"/>
        <color rgb="FF44546A"/>
        <rFont val="Calibri"/>
        <family val="2"/>
      </rPr>
      <t>Renovación de redes de agua potable y aguas servidas</t>
    </r>
  </si>
  <si>
    <r>
      <t xml:space="preserve">    </t>
    </r>
    <r>
      <rPr>
        <sz val="11"/>
        <color rgb="FF44546A"/>
        <rFont val="Calibri"/>
        <family val="2"/>
      </rPr>
      <t>Renovación de arranques y medidores</t>
    </r>
  </si>
  <si>
    <r>
      <t xml:space="preserve">    </t>
    </r>
    <r>
      <rPr>
        <sz val="11"/>
        <color rgb="FF44546A"/>
        <rFont val="Calibri"/>
        <family val="2"/>
      </rPr>
      <t>Sondajes y refuerzos de sistema de abastecimiento de agua</t>
    </r>
  </si>
  <si>
    <r>
      <t xml:space="preserve">    </t>
    </r>
    <r>
      <rPr>
        <sz val="11"/>
        <color rgb="FF44546A"/>
        <rFont val="Calibri"/>
        <family val="2"/>
      </rPr>
      <t>Reposición de activos de Biofactorías La Farfana-Trebal</t>
    </r>
  </si>
  <si>
    <r>
      <t xml:space="preserve">    </t>
    </r>
    <r>
      <rPr>
        <sz val="11"/>
        <color rgb="FF44546A"/>
        <rFont val="Calibri"/>
        <family val="2"/>
      </rPr>
      <t>Plan de eficiencia hidráulica</t>
    </r>
  </si>
  <si>
    <r>
      <t xml:space="preserve">    </t>
    </r>
    <r>
      <rPr>
        <sz val="11"/>
        <color rgb="FF44546A"/>
        <rFont val="Calibri"/>
        <family val="2"/>
      </rPr>
      <t>Renovación de filtros Vizcachitas – Tagle</t>
    </r>
  </si>
  <si>
    <r>
      <t xml:space="preserve">    </t>
    </r>
    <r>
      <rPr>
        <sz val="11"/>
        <color rgb="FF44546A"/>
        <rFont val="Calibri"/>
        <family val="2"/>
      </rPr>
      <t>Gestión avanzada de pozos</t>
    </r>
  </si>
  <si>
    <r>
      <t xml:space="preserve">    </t>
    </r>
    <r>
      <rPr>
        <sz val="11"/>
        <color rgb="FF44546A"/>
        <rFont val="Calibri"/>
        <family val="2"/>
      </rPr>
      <t>Ampliación Planta de Tratamiento Agua Potable Padre Hurtado</t>
    </r>
  </si>
  <si>
    <r>
      <t xml:space="preserve">    </t>
    </r>
    <r>
      <rPr>
        <sz val="11"/>
        <color rgb="FF44546A"/>
        <rFont val="Calibri"/>
        <family val="2"/>
      </rPr>
      <t>Reparación Estanques Antonio Varas – Lo Contador</t>
    </r>
  </si>
  <si>
    <r>
      <t xml:space="preserve">    </t>
    </r>
    <r>
      <rPr>
        <sz val="11"/>
        <color rgb="FF44546A"/>
        <rFont val="Calibri"/>
        <family val="2"/>
      </rPr>
      <t>Obras Seguridad Conducción Manzano-Pirque</t>
    </r>
  </si>
  <si>
    <t>Interés Minoritario</t>
  </si>
  <si>
    <t xml:space="preserve">Enviado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</si>
</sst>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3">
    <numFmt numFmtId="43" formatCode="_-* #,##0.00_-;\-* #,##0.00_-;_-* &quot;-&quot;??_-;_-@_-"/>
    <numFmt numFmtId="164" formatCode="_ * #,##0_ ;_ * \-#,##0_ ;_ * &quot;-&quot;_ ;_ @_ 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69" formatCode="_-* #,##0_-;\-* #,##0_-;_-* &quot;-&quot;??_-;_-@_-"/>
    <numFmt numFmtId="170" formatCode="#,##0;[Red]\(#,##0\)"/>
    <numFmt numFmtId="171" formatCode="##,##0.00;[Red]\(##,##0.00\)"/>
    <numFmt numFmtId="172" formatCode="#,##0.000;[Red]\(#,##0.000\)"/>
    <numFmt numFmtId="173" formatCode="#,##0.00;[Red]\(#,##0.00\)"/>
    <numFmt numFmtId="174" formatCode="#,##0.00;[Red]#,##0.00"/>
    <numFmt numFmtId="175" formatCode="#,##0.0;[Red]\(#,##0.0\)"/>
    <numFmt numFmtId="176" formatCode="_-* #,##0\ _P_t_s_-;\-* #,##0\ _P_t_s_-;_-* &quot;-&quot;??\ _P_t_s_-;_-@_-"/>
    <numFmt numFmtId="177" formatCode="_-* #,##0.000_-;\-* #,##0.000_-;_-* &quot;-&quot;??_-;_-@_-"/>
    <numFmt numFmtId="178" formatCode="_-* #,##0.000000_-;\-* #,##0.000000_-;_-* &quot;-&quot;??????_-;_-@_-"/>
    <numFmt numFmtId="179" formatCode="_-* #,##0.0000_-;\-* #,##0.0000_-;_-* &quot;-&quot;??_-;_-@_-"/>
    <numFmt numFmtId="180" formatCode="_-* #,##0.000\ _P_t_s_-;\-* #,##0.000\ _P_t_s_-;_-* &quot;-&quot;??\ _P_t_s_-;_-@_-"/>
    <numFmt numFmtId="181" formatCode="_-* #,##0.0000\ _P_t_s_-;\-* #,##0.0000\ _P_t_s_-;_-* &quot;-&quot;??\ _P_t_s_-;_-@_-"/>
    <numFmt numFmtId="182" formatCode="0.00000"/>
    <numFmt numFmtId="183" formatCode="0.0000"/>
    <numFmt numFmtId="184" formatCode="0.000"/>
    <numFmt numFmtId="185" formatCode="_-* #,##0.000_-;\-* #,##0.000_-;_-* &quot;-&quot;???_-;_-@_-"/>
    <numFmt numFmtId="186" formatCode="##,##0;\(##,##0\)"/>
    <numFmt numFmtId="187" formatCode="0.0000%"/>
    <numFmt numFmtId="188" formatCode="0.0%"/>
    <numFmt numFmtId="189" formatCode="#,##0;\(\ #,##0\)"/>
    <numFmt numFmtId="190" formatCode="#,##0;\(\ \ #,##0\)"/>
    <numFmt numFmtId="191" formatCode="dd\-mm\-yyyy"/>
    <numFmt numFmtId="192" formatCode="d\-m\-yyyy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8" formatCode="_(* #,##0_);_(* \(#,##0\);_(* &quot;-&quot;??_);_(@_)"/>
    <numFmt numFmtId="199" formatCode="#,##0.000"/>
    <numFmt numFmtId="200" formatCode="#,##0_ ;\-#,##0\ "/>
    <numFmt numFmtId="201" formatCode="#,##0\ ;\(#,##0\);\-\ ;"/>
    <numFmt numFmtId="202" formatCode="0.0%_);\(0.0%\)"/>
    <numFmt numFmtId="203" formatCode="#,##0;\(#,##0\);\-"/>
    <numFmt numFmtId="204" formatCode="#,##0.000;\(#,##0.000\);\-"/>
    <numFmt numFmtId="205" formatCode="#,##0.0"/>
  </numFmts>
  <fonts count="11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FF0000"/>
      <name val="Calibri"/>
      <family val="2"/>
      <scheme val="minor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2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indexed="12"/>
      <name val="Calibri"/>
      <family val="2"/>
      <scheme val="minor"/>
    </font>
    <font>
      <u/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b/>
      <sz val="9"/>
      <color indexed="20"/>
      <name val="Calibri"/>
      <family val="2"/>
      <scheme val="minor"/>
    </font>
    <font>
      <b/>
      <sz val="9"/>
      <color indexed="62"/>
      <name val="Calibri"/>
      <family val="2"/>
      <scheme val="minor"/>
    </font>
    <font>
      <sz val="9"/>
      <color indexed="62"/>
      <name val="Calibri"/>
      <family val="2"/>
      <scheme val="minor"/>
    </font>
    <font>
      <b/>
      <sz val="9"/>
      <color indexed="1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name val="Calibri"/>
      <family val="2"/>
    </font>
    <font>
      <sz val="7"/>
      <name val="Times New Roman"/>
      <family val="1"/>
    </font>
    <font>
      <sz val="11"/>
      <color rgb="FF44546A"/>
      <name val="Calibri"/>
      <family val="2"/>
    </font>
  </fonts>
  <fills count="10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thin">
        <color rgb="FF002060"/>
      </right>
      <top style="medium">
        <color rgb="FF002060"/>
      </top>
      <bottom/>
      <diagonal/>
    </border>
    <border>
      <left style="thin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/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002060"/>
      </left>
      <right style="medium">
        <color rgb="FF002060"/>
      </right>
      <top/>
      <bottom style="medium">
        <color indexed="64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/>
      <bottom style="medium">
        <color rgb="FF00206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thin">
        <color indexed="23"/>
      </left>
      <right style="medium">
        <color indexed="55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70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6" fillId="8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6" fillId="9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6" fillId="10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6" fillId="11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6" fillId="12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6" fillId="3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6" fillId="15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6" fillId="9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6" fillId="16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6" fillId="17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6" fillId="15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6" fillId="7" borderId="0" applyNumberFormat="0" applyBorder="0" applyAlignment="0" applyProtection="0"/>
    <xf numFmtId="0" fontId="61" fillId="85" borderId="0" applyNumberFormat="0" applyBorder="0" applyAlignment="0" applyProtection="0"/>
    <xf numFmtId="0" fontId="62" fillId="85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7" fillId="15" borderId="0" applyNumberFormat="0" applyBorder="0" applyAlignment="0" applyProtection="0"/>
    <xf numFmtId="0" fontId="63" fillId="86" borderId="0" applyNumberFormat="0" applyBorder="0" applyAlignment="0" applyProtection="0"/>
    <xf numFmtId="0" fontId="7" fillId="9" borderId="0" applyNumberFormat="0" applyBorder="0" applyAlignment="0" applyProtection="0"/>
    <xf numFmtId="0" fontId="63" fillId="87" borderId="0" applyNumberFormat="0" applyBorder="0" applyAlignment="0" applyProtection="0"/>
    <xf numFmtId="0" fontId="7" fillId="16" borderId="0" applyNumberFormat="0" applyBorder="0" applyAlignment="0" applyProtection="0"/>
    <xf numFmtId="0" fontId="63" fillId="88" borderId="0" applyNumberFormat="0" applyBorder="0" applyAlignment="0" applyProtection="0"/>
    <xf numFmtId="0" fontId="7" fillId="17" borderId="0" applyNumberFormat="0" applyBorder="0" applyAlignment="0" applyProtection="0"/>
    <xf numFmtId="0" fontId="63" fillId="89" borderId="0" applyNumberFormat="0" applyBorder="0" applyAlignment="0" applyProtection="0"/>
    <xf numFmtId="0" fontId="7" fillId="15" borderId="0" applyNumberFormat="0" applyBorder="0" applyAlignment="0" applyProtection="0"/>
    <xf numFmtId="0" fontId="63" fillId="90" borderId="0" applyNumberFormat="0" applyBorder="0" applyAlignment="0" applyProtection="0"/>
    <xf numFmtId="0" fontId="7" fillId="7" borderId="0" applyNumberFormat="0" applyBorder="0" applyAlignment="0" applyProtection="0"/>
    <xf numFmtId="0" fontId="63" fillId="91" borderId="0" applyNumberFormat="0" applyBorder="0" applyAlignment="0" applyProtection="0"/>
    <xf numFmtId="0" fontId="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5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4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3" fillId="1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5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26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9" fillId="38" borderId="0" applyNumberFormat="0" applyBorder="0" applyAlignment="0" applyProtection="0"/>
    <xf numFmtId="0" fontId="3" fillId="19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31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8" fillId="34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3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35" borderId="0" applyNumberFormat="0" applyBorder="0" applyAlignment="0" applyProtection="0"/>
    <xf numFmtId="0" fontId="8" fillId="23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3" fillId="39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40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3" fillId="22" borderId="0" applyNumberFormat="0" applyBorder="0" applyAlignment="0" applyProtection="0"/>
    <xf numFmtId="0" fontId="3" fillId="29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39" borderId="0" applyNumberFormat="0" applyBorder="0" applyAlignment="0" applyProtection="0"/>
    <xf numFmtId="0" fontId="34" fillId="3" borderId="0" applyNumberFormat="0" applyBorder="0" applyAlignment="0" applyProtection="0"/>
    <xf numFmtId="0" fontId="10" fillId="43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8" fillId="37" borderId="0" applyNumberFormat="0" applyBorder="0" applyAlignment="0" applyProtection="0"/>
    <xf numFmtId="0" fontId="35" fillId="17" borderId="1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34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2" fillId="46" borderId="3" applyNumberFormat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3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2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8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49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4" fillId="52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54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34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5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46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7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28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8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9" fillId="59" borderId="0" applyNumberFormat="0" applyBorder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1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0" fontId="16" fillId="41" borderId="2" applyNumberFormat="0" applyAlignment="0" applyProtection="0"/>
    <xf numFmtId="194" fontId="5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7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6" fontId="2" fillId="0" borderId="0" applyFont="0" applyFill="0" applyBorder="0" applyAlignment="0" applyProtection="0"/>
    <xf numFmtId="195" fontId="5" fillId="0" borderId="0" applyFont="0" applyFill="0" applyBorder="0" applyAlignment="0" applyProtection="0"/>
    <xf numFmtId="196" fontId="5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32" fillId="0" borderId="0" applyFont="0" applyFill="0" applyBorder="0" applyAlignment="0" applyProtection="0"/>
    <xf numFmtId="168" fontId="2" fillId="0" borderId="0" applyFont="0" applyFill="0" applyBorder="0" applyAlignment="0" applyProtection="0"/>
    <xf numFmtId="197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8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50" fillId="6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1" fillId="0" borderId="0"/>
    <xf numFmtId="0" fontId="5" fillId="0" borderId="0"/>
    <xf numFmtId="0" fontId="5" fillId="0" borderId="0"/>
    <xf numFmtId="0" fontId="64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8" fillId="0" borderId="0"/>
    <xf numFmtId="0" fontId="5" fillId="0" borderId="0"/>
    <xf numFmtId="0" fontId="51" fillId="0" borderId="0" applyNumberFormat="0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0" borderId="0"/>
    <xf numFmtId="0" fontId="4" fillId="61" borderId="0"/>
    <xf numFmtId="0" fontId="4" fillId="61" borderId="0"/>
    <xf numFmtId="0" fontId="4" fillId="61" borderId="0"/>
    <xf numFmtId="0" fontId="5" fillId="40" borderId="11" applyNumberFormat="0" applyFont="0" applyAlignment="0" applyProtection="0"/>
    <xf numFmtId="0" fontId="8" fillId="92" borderId="26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5" fillId="40" borderId="11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4" fillId="40" borderId="2" applyNumberFormat="0" applyFont="0" applyAlignment="0" applyProtection="0"/>
    <xf numFmtId="0" fontId="8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8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4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0" fontId="19" fillId="45" borderId="6" applyNumberFormat="0" applyAlignment="0" applyProtection="0"/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4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20" fillId="60" borderId="1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4" fontId="4" fillId="62" borderId="2" applyNumberFormat="0" applyProtection="0">
      <alignment horizontal="left" vertical="center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20" fillId="60" borderId="12" applyNumberFormat="0" applyProtection="0">
      <alignment horizontal="left" vertical="top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20" fillId="8" borderId="0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3" borderId="1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4" fillId="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9" borderId="1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4" fillId="63" borderId="2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29" borderId="12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4" fillId="29" borderId="13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14" borderId="1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4" fillId="14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21" borderId="1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4" fillId="21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39" borderId="1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4" fillId="39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16" borderId="1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4" fillId="16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64" borderId="1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4" fillId="64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6" fillId="13" borderId="1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4" fillId="13" borderId="2" applyNumberFormat="0" applyProtection="0">
      <alignment horizontal="right" vertical="center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20" fillId="65" borderId="14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4" fillId="6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22" fillId="15" borderId="0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5" fillId="15" borderId="13" applyNumberFormat="0" applyProtection="0">
      <alignment horizontal="left" vertical="center" indent="1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8" borderId="1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4" fillId="8" borderId="2" applyNumberFormat="0" applyProtection="0">
      <alignment horizontal="right" vertical="center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66" borderId="0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4" fillId="66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6" fillId="8" borderId="0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4" fontId="4" fillId="8" borderId="13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4" fillId="17" borderId="2" applyNumberFormat="0" applyProtection="0">
      <alignment horizontal="left" vertical="center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4" fillId="67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4" fillId="12" borderId="2" applyNumberFormat="0" applyProtection="0">
      <alignment horizontal="left" vertical="center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4" fillId="66" borderId="2" applyNumberFormat="0" applyProtection="0">
      <alignment horizontal="left" vertical="center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5" fillId="11" borderId="15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4" fillId="11" borderId="16" applyNumberFormat="0">
      <protection locked="0"/>
    </xf>
    <xf numFmtId="0" fontId="31" fillId="15" borderId="17" applyBorder="0"/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6" fillId="10" borderId="12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3" fillId="10" borderId="12" applyNumberFormat="0" applyProtection="0">
      <alignment vertical="center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6" fillId="10" borderId="12" applyNumberFormat="0" applyProtection="0">
      <alignment horizontal="left" vertical="center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6" fillId="10" borderId="12" applyNumberFormat="0" applyProtection="0">
      <alignment horizontal="left" vertical="top" indent="1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6" fillId="66" borderId="1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4" fillId="0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3" fillId="66" borderId="12" applyNumberFormat="0" applyProtection="0">
      <alignment horizontal="right" vertical="center"/>
    </xf>
    <xf numFmtId="4" fontId="6" fillId="8" borderId="1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6" fillId="8" borderId="1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0" fontId="5" fillId="70" borderId="6" applyNumberFormat="0" applyProtection="0">
      <alignment horizontal="left" vertical="center" indent="1"/>
    </xf>
    <xf numFmtId="4" fontId="4" fillId="20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4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4" fillId="72" borderId="15"/>
    <xf numFmtId="0" fontId="4" fillId="72" borderId="15"/>
    <xf numFmtId="0" fontId="4" fillId="72" borderId="15"/>
    <xf numFmtId="0" fontId="4" fillId="72" borderId="15"/>
    <xf numFmtId="0" fontId="4" fillId="72" borderId="15"/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0" fontId="2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8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30" fillId="0" borderId="20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1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5" fillId="0" borderId="22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14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66" fillId="0" borderId="0"/>
    <xf numFmtId="0" fontId="2" fillId="0" borderId="0"/>
    <xf numFmtId="9" fontId="8" fillId="0" borderId="0" applyFont="0" applyFill="0" applyBorder="0" applyAlignment="0" applyProtection="0"/>
    <xf numFmtId="165" fontId="67" fillId="0" borderId="0" applyFont="0" applyFill="0" applyBorder="0" applyAlignment="0" applyProtection="0"/>
    <xf numFmtId="0" fontId="84" fillId="0" borderId="0"/>
    <xf numFmtId="43" fontId="1" fillId="0" borderId="0" applyFont="0" applyFill="0" applyBorder="0" applyAlignment="0" applyProtection="0"/>
    <xf numFmtId="164" fontId="84" fillId="0" borderId="0" applyFont="0" applyFill="0" applyBorder="0" applyAlignment="0" applyProtection="0"/>
    <xf numFmtId="0" fontId="103" fillId="0" borderId="0" applyNumberFormat="0" applyFill="0" applyBorder="0" applyAlignment="0" applyProtection="0"/>
  </cellStyleXfs>
  <cellXfs count="480">
    <xf numFmtId="0" fontId="0" fillId="0" borderId="0" xfId="0"/>
    <xf numFmtId="3" fontId="69" fillId="0" borderId="0" xfId="0" applyNumberFormat="1" applyFont="1"/>
    <xf numFmtId="0" fontId="70" fillId="0" borderId="65" xfId="0" applyFont="1" applyBorder="1" applyAlignment="1">
      <alignment vertical="center"/>
    </xf>
    <xf numFmtId="0" fontId="71" fillId="0" borderId="40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37" xfId="0" applyFont="1" applyBorder="1" applyAlignment="1">
      <alignment horizontal="center" vertical="center"/>
    </xf>
    <xf numFmtId="0" fontId="72" fillId="0" borderId="0" xfId="0" applyFont="1"/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201" fontId="70" fillId="0" borderId="0" xfId="0" applyNumberFormat="1" applyFont="1" applyAlignment="1">
      <alignment horizontal="right" vertical="center"/>
    </xf>
    <xf numFmtId="202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198" fontId="72" fillId="0" borderId="0" xfId="828" applyNumberFormat="1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vertical="center"/>
    </xf>
    <xf numFmtId="0" fontId="70" fillId="0" borderId="37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1" fillId="0" borderId="0" xfId="0" applyNumberFormat="1" applyFont="1" applyAlignment="1">
      <alignment horizontal="right" vertical="center"/>
    </xf>
    <xf numFmtId="3" fontId="68" fillId="0" borderId="0" xfId="0" applyNumberFormat="1" applyFont="1"/>
    <xf numFmtId="0" fontId="76" fillId="0" borderId="0" xfId="0" applyFont="1" applyAlignment="1">
      <alignment vertical="center"/>
    </xf>
    <xf numFmtId="0" fontId="72" fillId="0" borderId="0" xfId="0" applyFont="1" applyAlignment="1">
      <alignment horizontal="left"/>
    </xf>
    <xf numFmtId="201" fontId="72" fillId="0" borderId="0" xfId="0" applyNumberFormat="1" applyFont="1"/>
    <xf numFmtId="3" fontId="79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left"/>
    </xf>
    <xf numFmtId="201" fontId="73" fillId="0" borderId="0" xfId="0" applyNumberFormat="1" applyFont="1"/>
    <xf numFmtId="0" fontId="74" fillId="0" borderId="0" xfId="1698" applyFont="1" applyAlignment="1">
      <alignment horizontal="left" indent="2"/>
    </xf>
    <xf numFmtId="0" fontId="72" fillId="0" borderId="0" xfId="1698" applyFont="1"/>
    <xf numFmtId="0" fontId="72" fillId="0" borderId="0" xfId="1698" applyFont="1" applyAlignment="1">
      <alignment vertical="center"/>
    </xf>
    <xf numFmtId="3" fontId="72" fillId="0" borderId="0" xfId="1698" applyNumberFormat="1" applyFont="1" applyAlignment="1">
      <alignment vertical="center"/>
    </xf>
    <xf numFmtId="0" fontId="70" fillId="0" borderId="0" xfId="0" applyFont="1" applyAlignment="1">
      <alignment horizontal="center"/>
    </xf>
    <xf numFmtId="0" fontId="70" fillId="0" borderId="37" xfId="0" applyFont="1" applyBorder="1" applyAlignment="1">
      <alignment horizontal="left"/>
    </xf>
    <xf numFmtId="0" fontId="70" fillId="0" borderId="37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71" fillId="0" borderId="37" xfId="0" applyFont="1" applyBorder="1" applyAlignment="1">
      <alignment horizontal="center" vertical="center"/>
    </xf>
    <xf numFmtId="0" fontId="70" fillId="0" borderId="40" xfId="0" applyFont="1" applyBorder="1" applyAlignment="1">
      <alignment vertical="center"/>
    </xf>
    <xf numFmtId="0" fontId="81" fillId="0" borderId="0" xfId="0" applyFont="1"/>
    <xf numFmtId="3" fontId="81" fillId="0" borderId="0" xfId="0" applyNumberFormat="1" applyFont="1"/>
    <xf numFmtId="9" fontId="72" fillId="0" borderId="0" xfId="950" applyFont="1"/>
    <xf numFmtId="9" fontId="73" fillId="0" borderId="0" xfId="950" applyFont="1"/>
    <xf numFmtId="202" fontId="71" fillId="0" borderId="0" xfId="0" applyNumberFormat="1" applyFont="1" applyAlignment="1">
      <alignment horizontal="center" vertical="center"/>
    </xf>
    <xf numFmtId="0" fontId="70" fillId="0" borderId="37" xfId="0" applyFont="1" applyBorder="1"/>
    <xf numFmtId="186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/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9" fillId="0" borderId="65" xfId="0" applyFont="1" applyBorder="1" applyAlignment="1">
      <alignment vertical="center"/>
    </xf>
    <xf numFmtId="0" fontId="79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14" fontId="85" fillId="73" borderId="51" xfId="904" applyNumberFormat="1" applyFont="1" applyFill="1" applyBorder="1" applyAlignment="1">
      <alignment horizontal="center" vertical="center"/>
    </xf>
    <xf numFmtId="14" fontId="85" fillId="73" borderId="52" xfId="904" applyNumberFormat="1" applyFont="1" applyFill="1" applyBorder="1" applyAlignment="1">
      <alignment horizontal="center" vertical="center"/>
    </xf>
    <xf numFmtId="203" fontId="85" fillId="73" borderId="57" xfId="904" applyNumberFormat="1" applyFont="1" applyFill="1" applyBorder="1" applyAlignment="1">
      <alignment horizontal="center" vertical="top"/>
    </xf>
    <xf numFmtId="203" fontId="85" fillId="73" borderId="58" xfId="904" applyNumberFormat="1" applyFont="1" applyFill="1" applyBorder="1" applyAlignment="1">
      <alignment horizontal="center" vertical="top"/>
    </xf>
    <xf numFmtId="203" fontId="85" fillId="0" borderId="56" xfId="904" applyNumberFormat="1" applyFont="1" applyBorder="1" applyAlignment="1">
      <alignment horizontal="left" vertical="center" indent="1"/>
    </xf>
    <xf numFmtId="203" fontId="86" fillId="0" borderId="1" xfId="904" quotePrefix="1" applyNumberFormat="1" applyFont="1" applyBorder="1" applyAlignment="1">
      <alignment horizontal="center" vertical="center"/>
    </xf>
    <xf numFmtId="203" fontId="86" fillId="0" borderId="1" xfId="904" applyNumberFormat="1" applyFont="1" applyBorder="1" applyAlignment="1">
      <alignment vertical="center"/>
    </xf>
    <xf numFmtId="203" fontId="86" fillId="0" borderId="47" xfId="904" applyNumberFormat="1" applyFont="1" applyBorder="1" applyAlignment="1">
      <alignment vertical="center"/>
    </xf>
    <xf numFmtId="203" fontId="86" fillId="0" borderId="56" xfId="904" applyNumberFormat="1" applyFont="1" applyBorder="1" applyAlignment="1">
      <alignment horizontal="left" vertical="center" indent="3"/>
    </xf>
    <xf numFmtId="203" fontId="86" fillId="0" borderId="1" xfId="904" applyNumberFormat="1" applyFont="1" applyBorder="1" applyAlignment="1">
      <alignment horizontal="center" vertical="center"/>
    </xf>
    <xf numFmtId="203" fontId="85" fillId="73" borderId="56" xfId="904" applyNumberFormat="1" applyFont="1" applyFill="1" applyBorder="1" applyAlignment="1">
      <alignment horizontal="left" vertical="center" wrapText="1"/>
    </xf>
    <xf numFmtId="203" fontId="85" fillId="73" borderId="1" xfId="904" applyNumberFormat="1" applyFont="1" applyFill="1" applyBorder="1" applyAlignment="1">
      <alignment horizontal="center" vertical="center"/>
    </xf>
    <xf numFmtId="203" fontId="85" fillId="96" borderId="56" xfId="904" applyNumberFormat="1" applyFont="1" applyFill="1" applyBorder="1" applyAlignment="1">
      <alignment horizontal="left" vertical="center"/>
    </xf>
    <xf numFmtId="203" fontId="85" fillId="0" borderId="1" xfId="904" applyNumberFormat="1" applyFont="1" applyBorder="1" applyAlignment="1">
      <alignment horizontal="center" vertical="center"/>
    </xf>
    <xf numFmtId="203" fontId="85" fillId="73" borderId="56" xfId="904" applyNumberFormat="1" applyFont="1" applyFill="1" applyBorder="1" applyAlignment="1">
      <alignment horizontal="left" vertical="center" indent="2"/>
    </xf>
    <xf numFmtId="203" fontId="85" fillId="73" borderId="59" xfId="904" applyNumberFormat="1" applyFont="1" applyFill="1" applyBorder="1" applyAlignment="1">
      <alignment horizontal="left" vertical="center" indent="2"/>
    </xf>
    <xf numFmtId="203" fontId="85" fillId="73" borderId="48" xfId="904" applyNumberFormat="1" applyFont="1" applyFill="1" applyBorder="1" applyAlignment="1">
      <alignment horizontal="center" vertical="center"/>
    </xf>
    <xf numFmtId="203" fontId="85" fillId="0" borderId="1" xfId="904" applyNumberFormat="1" applyFont="1" applyBorder="1" applyAlignment="1">
      <alignment horizontal="left" vertical="center" indent="2"/>
    </xf>
    <xf numFmtId="203" fontId="85" fillId="73" borderId="56" xfId="904" applyNumberFormat="1" applyFont="1" applyFill="1" applyBorder="1" applyAlignment="1">
      <alignment horizontal="left" vertical="center" wrapText="1" indent="2"/>
    </xf>
    <xf numFmtId="203" fontId="85" fillId="73" borderId="1" xfId="904" applyNumberFormat="1" applyFont="1" applyFill="1" applyBorder="1" applyAlignment="1">
      <alignment horizontal="left" vertical="center" indent="3"/>
    </xf>
    <xf numFmtId="203" fontId="85" fillId="73" borderId="56" xfId="904" applyNumberFormat="1" applyFont="1" applyFill="1" applyBorder="1" applyAlignment="1">
      <alignment horizontal="left" vertical="center" indent="1"/>
    </xf>
    <xf numFmtId="203" fontId="85" fillId="0" borderId="60" xfId="904" applyNumberFormat="1" applyFont="1" applyBorder="1" applyAlignment="1">
      <alignment vertical="center"/>
    </xf>
    <xf numFmtId="203" fontId="77" fillId="0" borderId="56" xfId="904" applyNumberFormat="1" applyFont="1" applyBorder="1" applyAlignment="1">
      <alignment horizontal="left" vertical="center" indent="3"/>
    </xf>
    <xf numFmtId="203" fontId="85" fillId="0" borderId="56" xfId="904" applyNumberFormat="1" applyFont="1" applyBorder="1" applyAlignment="1">
      <alignment horizontal="left" vertical="center" wrapText="1" indent="3"/>
    </xf>
    <xf numFmtId="203" fontId="86" fillId="0" borderId="56" xfId="904" applyNumberFormat="1" applyFont="1" applyBorder="1" applyAlignment="1">
      <alignment horizontal="left" vertical="center"/>
    </xf>
    <xf numFmtId="203" fontId="86" fillId="73" borderId="1" xfId="904" applyNumberFormat="1" applyFont="1" applyFill="1" applyBorder="1" applyAlignment="1">
      <alignment horizontal="center" vertical="center"/>
    </xf>
    <xf numFmtId="203" fontId="85" fillId="73" borderId="59" xfId="904" applyNumberFormat="1" applyFont="1" applyFill="1" applyBorder="1" applyAlignment="1">
      <alignment horizontal="left" vertical="center" indent="1"/>
    </xf>
    <xf numFmtId="203" fontId="85" fillId="73" borderId="48" xfId="904" applyNumberFormat="1" applyFont="1" applyFill="1" applyBorder="1" applyAlignment="1">
      <alignment horizontal="left" vertical="center" indent="3"/>
    </xf>
    <xf numFmtId="203" fontId="86" fillId="0" borderId="56" xfId="904" applyNumberFormat="1" applyFont="1" applyBorder="1" applyAlignment="1">
      <alignment vertical="center"/>
    </xf>
    <xf numFmtId="49" fontId="86" fillId="0" borderId="1" xfId="904" applyNumberFormat="1" applyFont="1" applyBorder="1" applyAlignment="1">
      <alignment horizontal="center" vertical="center"/>
    </xf>
    <xf numFmtId="0" fontId="86" fillId="0" borderId="56" xfId="904" applyFont="1" applyBorder="1" applyAlignment="1">
      <alignment vertical="center"/>
    </xf>
    <xf numFmtId="3" fontId="86" fillId="0" borderId="1" xfId="904" applyNumberFormat="1" applyFont="1" applyBorder="1" applyAlignment="1">
      <alignment vertical="center"/>
    </xf>
    <xf numFmtId="0" fontId="85" fillId="73" borderId="56" xfId="904" applyFont="1" applyFill="1" applyBorder="1" applyAlignment="1">
      <alignment vertical="center"/>
    </xf>
    <xf numFmtId="0" fontId="85" fillId="73" borderId="1" xfId="904" applyFont="1" applyFill="1" applyBorder="1" applyAlignment="1">
      <alignment horizontal="center" vertical="center"/>
    </xf>
    <xf numFmtId="3" fontId="85" fillId="73" borderId="1" xfId="904" applyNumberFormat="1" applyFont="1" applyFill="1" applyBorder="1" applyAlignment="1">
      <alignment vertical="center"/>
    </xf>
    <xf numFmtId="0" fontId="85" fillId="73" borderId="1" xfId="904" applyFont="1" applyFill="1" applyBorder="1" applyAlignment="1">
      <alignment horizontal="left" vertical="center" indent="3"/>
    </xf>
    <xf numFmtId="0" fontId="86" fillId="0" borderId="1" xfId="904" applyFont="1" applyBorder="1" applyAlignment="1">
      <alignment horizontal="center" vertical="center"/>
    </xf>
    <xf numFmtId="0" fontId="85" fillId="0" borderId="56" xfId="904" applyFont="1" applyBorder="1" applyAlignment="1">
      <alignment vertical="center" wrapText="1"/>
    </xf>
    <xf numFmtId="0" fontId="86" fillId="0" borderId="1" xfId="904" applyFont="1" applyBorder="1" applyAlignment="1">
      <alignment horizontal="left" vertical="center" indent="3"/>
    </xf>
    <xf numFmtId="3" fontId="86" fillId="0" borderId="1" xfId="904" applyNumberFormat="1" applyFont="1" applyBorder="1" applyAlignment="1">
      <alignment horizontal="center" vertical="center"/>
    </xf>
    <xf numFmtId="0" fontId="85" fillId="73" borderId="56" xfId="904" applyFont="1" applyFill="1" applyBorder="1" applyAlignment="1">
      <alignment vertical="center" wrapText="1"/>
    </xf>
    <xf numFmtId="3" fontId="85" fillId="98" borderId="1" xfId="904" applyNumberFormat="1" applyFont="1" applyFill="1" applyBorder="1" applyAlignment="1">
      <alignment vertical="center"/>
    </xf>
    <xf numFmtId="0" fontId="85" fillId="98" borderId="56" xfId="904" applyFont="1" applyFill="1" applyBorder="1" applyAlignment="1">
      <alignment vertical="center"/>
    </xf>
    <xf numFmtId="0" fontId="85" fillId="98" borderId="1" xfId="904" applyFont="1" applyFill="1" applyBorder="1" applyAlignment="1">
      <alignment horizontal="left" vertical="center" indent="3"/>
    </xf>
    <xf numFmtId="0" fontId="85" fillId="0" borderId="56" xfId="904" applyFont="1" applyBorder="1" applyAlignment="1">
      <alignment vertical="center"/>
    </xf>
    <xf numFmtId="3" fontId="86" fillId="0" borderId="0" xfId="904" applyNumberFormat="1" applyFont="1"/>
    <xf numFmtId="0" fontId="86" fillId="0" borderId="0" xfId="904" applyFont="1"/>
    <xf numFmtId="0" fontId="85" fillId="73" borderId="59" xfId="904" applyFont="1" applyFill="1" applyBorder="1" applyAlignment="1">
      <alignment vertical="center"/>
    </xf>
    <xf numFmtId="0" fontId="86" fillId="73" borderId="48" xfId="904" applyFont="1" applyFill="1" applyBorder="1" applyAlignment="1">
      <alignment horizontal="center" vertical="center"/>
    </xf>
    <xf numFmtId="199" fontId="85" fillId="73" borderId="48" xfId="904" applyNumberFormat="1" applyFont="1" applyFill="1" applyBorder="1" applyAlignment="1">
      <alignment vertical="center"/>
    </xf>
    <xf numFmtId="203" fontId="86" fillId="0" borderId="42" xfId="0" applyNumberFormat="1" applyFont="1" applyBorder="1" applyAlignment="1">
      <alignment horizontal="left" vertical="center" wrapText="1"/>
    </xf>
    <xf numFmtId="203" fontId="86" fillId="0" borderId="43" xfId="0" applyNumberFormat="1" applyFont="1" applyBorder="1" applyAlignment="1">
      <alignment horizontal="center" vertical="center" wrapText="1"/>
    </xf>
    <xf numFmtId="203" fontId="85" fillId="0" borderId="42" xfId="0" applyNumberFormat="1" applyFont="1" applyBorder="1" applyAlignment="1">
      <alignment horizontal="left" vertical="center" wrapText="1"/>
    </xf>
    <xf numFmtId="203" fontId="85" fillId="0" borderId="43" xfId="0" applyNumberFormat="1" applyFont="1" applyBorder="1" applyAlignment="1">
      <alignment horizontal="center" vertical="center" wrapText="1"/>
    </xf>
    <xf numFmtId="0" fontId="86" fillId="0" borderId="0" xfId="903" applyFont="1"/>
    <xf numFmtId="0" fontId="86" fillId="0" borderId="0" xfId="0" applyFont="1"/>
    <xf numFmtId="0" fontId="85" fillId="97" borderId="41" xfId="0" applyFont="1" applyFill="1" applyBorder="1" applyAlignment="1">
      <alignment horizontal="center" vertical="center"/>
    </xf>
    <xf numFmtId="0" fontId="85" fillId="97" borderId="46" xfId="0" applyFont="1" applyFill="1" applyBorder="1" applyAlignment="1">
      <alignment horizontal="center" vertical="center"/>
    </xf>
    <xf numFmtId="0" fontId="86" fillId="0" borderId="43" xfId="0" applyFont="1" applyBorder="1" applyAlignment="1">
      <alignment horizontal="center" vertical="center" wrapText="1"/>
    </xf>
    <xf numFmtId="3" fontId="86" fillId="0" borderId="0" xfId="0" applyNumberFormat="1" applyFont="1" applyAlignment="1">
      <alignment wrapText="1"/>
    </xf>
    <xf numFmtId="0" fontId="86" fillId="0" borderId="0" xfId="0" applyFont="1" applyAlignment="1">
      <alignment wrapText="1"/>
    </xf>
    <xf numFmtId="0" fontId="86" fillId="0" borderId="42" xfId="0" applyFont="1" applyBorder="1" applyAlignment="1">
      <alignment horizontal="left" vertical="center" wrapText="1"/>
    </xf>
    <xf numFmtId="0" fontId="85" fillId="96" borderId="42" xfId="0" applyFont="1" applyFill="1" applyBorder="1" applyAlignment="1">
      <alignment horizontal="left" vertical="center" wrapText="1"/>
    </xf>
    <xf numFmtId="0" fontId="86" fillId="96" borderId="43" xfId="0" applyFont="1" applyFill="1" applyBorder="1" applyAlignment="1">
      <alignment horizontal="center" vertical="center" wrapText="1"/>
    </xf>
    <xf numFmtId="0" fontId="85" fillId="96" borderId="43" xfId="0" applyFont="1" applyFill="1" applyBorder="1" applyAlignment="1">
      <alignment horizontal="center" vertical="center" wrapText="1"/>
    </xf>
    <xf numFmtId="0" fontId="85" fillId="96" borderId="42" xfId="0" applyFont="1" applyFill="1" applyBorder="1" applyAlignment="1">
      <alignment vertical="center" wrapText="1"/>
    </xf>
    <xf numFmtId="0" fontId="86" fillId="96" borderId="42" xfId="0" applyFont="1" applyFill="1" applyBorder="1" applyAlignment="1">
      <alignment horizontal="left" vertical="center" wrapText="1"/>
    </xf>
    <xf numFmtId="3" fontId="68" fillId="0" borderId="0" xfId="0" applyNumberFormat="1" applyFont="1" applyAlignment="1">
      <alignment wrapText="1"/>
    </xf>
    <xf numFmtId="0" fontId="85" fillId="96" borderId="53" xfId="0" applyFont="1" applyFill="1" applyBorder="1" applyAlignment="1">
      <alignment horizontal="left" vertical="center" wrapText="1"/>
    </xf>
    <xf numFmtId="0" fontId="85" fillId="96" borderId="50" xfId="0" applyFont="1" applyFill="1" applyBorder="1" applyAlignment="1">
      <alignment horizontal="center" vertical="center" wrapText="1"/>
    </xf>
    <xf numFmtId="0" fontId="86" fillId="0" borderId="0" xfId="903" applyFont="1" applyAlignment="1">
      <alignment horizontal="center"/>
    </xf>
    <xf numFmtId="0" fontId="85" fillId="0" borderId="0" xfId="904" applyFont="1"/>
    <xf numFmtId="3" fontId="86" fillId="0" borderId="0" xfId="903" applyNumberFormat="1" applyFont="1"/>
    <xf numFmtId="191" fontId="85" fillId="0" borderId="0" xfId="904" applyNumberFormat="1" applyFont="1" applyAlignment="1">
      <alignment horizontal="center" vertical="center"/>
    </xf>
    <xf numFmtId="192" fontId="85" fillId="0" borderId="0" xfId="904" applyNumberFormat="1" applyFont="1" applyAlignment="1">
      <alignment horizontal="center" vertical="top"/>
    </xf>
    <xf numFmtId="0" fontId="86" fillId="0" borderId="0" xfId="904" applyFont="1" applyAlignment="1">
      <alignment vertical="center"/>
    </xf>
    <xf numFmtId="3" fontId="86" fillId="0" borderId="0" xfId="904" applyNumberFormat="1" applyFont="1" applyAlignment="1">
      <alignment vertical="center"/>
    </xf>
    <xf numFmtId="3" fontId="85" fillId="0" borderId="0" xfId="904" applyNumberFormat="1" applyFont="1" applyAlignment="1">
      <alignment vertical="center"/>
    </xf>
    <xf numFmtId="0" fontId="89" fillId="0" borderId="0" xfId="904" applyFont="1"/>
    <xf numFmtId="3" fontId="85" fillId="0" borderId="0" xfId="904" applyNumberFormat="1" applyFont="1" applyAlignment="1">
      <alignment horizontal="right" vertical="center"/>
    </xf>
    <xf numFmtId="0" fontId="86" fillId="0" borderId="0" xfId="0" applyFont="1" applyAlignment="1">
      <alignment horizontal="left" vertical="center" indent="1"/>
    </xf>
    <xf numFmtId="0" fontId="86" fillId="0" borderId="0" xfId="0" applyFont="1" applyAlignment="1">
      <alignment horizontal="left" vertical="center" indent="2"/>
    </xf>
    <xf numFmtId="3" fontId="86" fillId="0" borderId="0" xfId="0" applyNumberFormat="1" applyFont="1" applyAlignment="1">
      <alignment vertical="center"/>
    </xf>
    <xf numFmtId="0" fontId="90" fillId="0" borderId="0" xfId="0" applyFont="1"/>
    <xf numFmtId="0" fontId="91" fillId="0" borderId="0" xfId="0" applyFont="1"/>
    <xf numFmtId="0" fontId="92" fillId="0" borderId="0" xfId="0" applyFont="1"/>
    <xf numFmtId="184" fontId="91" fillId="0" borderId="0" xfId="0" applyNumberFormat="1" applyFont="1"/>
    <xf numFmtId="178" fontId="91" fillId="0" borderId="0" xfId="0" applyNumberFormat="1" applyFont="1"/>
    <xf numFmtId="170" fontId="91" fillId="0" borderId="0" xfId="0" applyNumberFormat="1" applyFont="1"/>
    <xf numFmtId="169" fontId="91" fillId="0" borderId="0" xfId="836" quotePrefix="1" applyNumberFormat="1" applyFont="1" applyBorder="1" applyAlignment="1">
      <alignment horizontal="center"/>
    </xf>
    <xf numFmtId="0" fontId="93" fillId="93" borderId="27" xfId="0" applyFont="1" applyFill="1" applyBorder="1"/>
    <xf numFmtId="0" fontId="94" fillId="93" borderId="28" xfId="0" applyFont="1" applyFill="1" applyBorder="1"/>
    <xf numFmtId="49" fontId="93" fillId="93" borderId="28" xfId="836" applyNumberFormat="1" applyFont="1" applyFill="1" applyBorder="1" applyAlignment="1">
      <alignment horizontal="center"/>
    </xf>
    <xf numFmtId="169" fontId="90" fillId="0" borderId="0" xfId="836" quotePrefix="1" applyNumberFormat="1" applyFont="1" applyFill="1" applyAlignment="1">
      <alignment horizontal="center"/>
    </xf>
    <xf numFmtId="169" fontId="90" fillId="0" borderId="0" xfId="836" quotePrefix="1" applyNumberFormat="1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14" fontId="91" fillId="0" borderId="0" xfId="0" applyNumberFormat="1" applyFont="1" applyAlignment="1">
      <alignment horizontal="center"/>
    </xf>
    <xf numFmtId="0" fontId="90" fillId="0" borderId="30" xfId="0" applyFont="1" applyBorder="1"/>
    <xf numFmtId="0" fontId="91" fillId="0" borderId="31" xfId="0" applyFont="1" applyBorder="1"/>
    <xf numFmtId="0" fontId="91" fillId="0" borderId="63" xfId="0" applyFont="1" applyBorder="1"/>
    <xf numFmtId="0" fontId="91" fillId="0" borderId="32" xfId="0" applyFont="1" applyBorder="1"/>
    <xf numFmtId="0" fontId="90" fillId="0" borderId="24" xfId="0" applyFont="1" applyBorder="1"/>
    <xf numFmtId="183" fontId="92" fillId="0" borderId="0" xfId="0" applyNumberFormat="1" applyFont="1"/>
    <xf numFmtId="0" fontId="91" fillId="0" borderId="30" xfId="0" applyFont="1" applyBorder="1"/>
    <xf numFmtId="0" fontId="91" fillId="0" borderId="31" xfId="0" applyFont="1" applyBorder="1" applyAlignment="1">
      <alignment horizontal="center"/>
    </xf>
    <xf numFmtId="169" fontId="91" fillId="0" borderId="31" xfId="836" applyNumberFormat="1" applyFont="1" applyBorder="1"/>
    <xf numFmtId="169" fontId="91" fillId="0" borderId="63" xfId="836" applyNumberFormat="1" applyFont="1" applyBorder="1"/>
    <xf numFmtId="169" fontId="91" fillId="0" borderId="32" xfId="836" applyNumberFormat="1" applyFont="1" applyBorder="1"/>
    <xf numFmtId="179" fontId="91" fillId="0" borderId="0" xfId="836" applyNumberFormat="1" applyFont="1"/>
    <xf numFmtId="0" fontId="91" fillId="0" borderId="25" xfId="0" applyFont="1" applyBorder="1"/>
    <xf numFmtId="170" fontId="91" fillId="0" borderId="25" xfId="0" applyNumberFormat="1" applyFont="1" applyBorder="1"/>
    <xf numFmtId="2" fontId="95" fillId="0" borderId="0" xfId="0" applyNumberFormat="1" applyFont="1"/>
    <xf numFmtId="2" fontId="90" fillId="0" borderId="0" xfId="0" applyNumberFormat="1" applyFont="1"/>
    <xf numFmtId="188" fontId="91" fillId="0" borderId="0" xfId="950" applyNumberFormat="1" applyFont="1"/>
    <xf numFmtId="188" fontId="92" fillId="0" borderId="0" xfId="950" applyNumberFormat="1" applyFont="1" applyFill="1" applyBorder="1"/>
    <xf numFmtId="0" fontId="93" fillId="93" borderId="30" xfId="0" applyFont="1" applyFill="1" applyBorder="1"/>
    <xf numFmtId="0" fontId="94" fillId="93" borderId="31" xfId="0" applyFont="1" applyFill="1" applyBorder="1"/>
    <xf numFmtId="169" fontId="93" fillId="93" borderId="31" xfId="836" applyNumberFormat="1" applyFont="1" applyFill="1" applyBorder="1"/>
    <xf numFmtId="169" fontId="93" fillId="93" borderId="63" xfId="836" applyNumberFormat="1" applyFont="1" applyFill="1" applyBorder="1"/>
    <xf numFmtId="169" fontId="93" fillId="93" borderId="32" xfId="836" applyNumberFormat="1" applyFont="1" applyFill="1" applyBorder="1"/>
    <xf numFmtId="169" fontId="91" fillId="0" borderId="0" xfId="836" applyNumberFormat="1" applyFont="1"/>
    <xf numFmtId="169" fontId="90" fillId="0" borderId="0" xfId="836" applyNumberFormat="1" applyFont="1"/>
    <xf numFmtId="2" fontId="91" fillId="0" borderId="0" xfId="0" applyNumberFormat="1" applyFont="1"/>
    <xf numFmtId="0" fontId="93" fillId="93" borderId="33" xfId="0" applyFont="1" applyFill="1" applyBorder="1"/>
    <xf numFmtId="0" fontId="94" fillId="93" borderId="34" xfId="0" applyFont="1" applyFill="1" applyBorder="1"/>
    <xf numFmtId="169" fontId="93" fillId="93" borderId="34" xfId="836" applyNumberFormat="1" applyFont="1" applyFill="1" applyBorder="1"/>
    <xf numFmtId="169" fontId="93" fillId="93" borderId="64" xfId="836" applyNumberFormat="1" applyFont="1" applyFill="1" applyBorder="1"/>
    <xf numFmtId="169" fontId="93" fillId="93" borderId="35" xfId="836" applyNumberFormat="1" applyFont="1" applyFill="1" applyBorder="1"/>
    <xf numFmtId="2" fontId="95" fillId="0" borderId="0" xfId="950" applyNumberFormat="1" applyFont="1" applyFill="1"/>
    <xf numFmtId="10" fontId="90" fillId="0" borderId="0" xfId="0" applyNumberFormat="1" applyFont="1"/>
    <xf numFmtId="0" fontId="91" fillId="0" borderId="36" xfId="0" applyFont="1" applyBorder="1"/>
    <xf numFmtId="200" fontId="69" fillId="0" borderId="0" xfId="836" applyNumberFormat="1" applyFont="1" applyBorder="1"/>
    <xf numFmtId="49" fontId="93" fillId="93" borderId="28" xfId="836" quotePrefix="1" applyNumberFormat="1" applyFont="1" applyFill="1" applyBorder="1" applyAlignment="1">
      <alignment horizontal="center"/>
    </xf>
    <xf numFmtId="0" fontId="90" fillId="0" borderId="31" xfId="0" applyFont="1" applyBorder="1" applyAlignment="1">
      <alignment horizontal="center"/>
    </xf>
    <xf numFmtId="186" fontId="91" fillId="0" borderId="31" xfId="836" applyNumberFormat="1" applyFont="1" applyFill="1" applyBorder="1"/>
    <xf numFmtId="186" fontId="91" fillId="0" borderId="32" xfId="836" applyNumberFormat="1" applyFont="1" applyFill="1" applyBorder="1"/>
    <xf numFmtId="0" fontId="96" fillId="0" borderId="0" xfId="0" applyFont="1"/>
    <xf numFmtId="169" fontId="92" fillId="0" borderId="0" xfId="0" applyNumberFormat="1" applyFont="1"/>
    <xf numFmtId="186" fontId="90" fillId="0" borderId="31" xfId="836" applyNumberFormat="1" applyFont="1" applyFill="1" applyBorder="1"/>
    <xf numFmtId="186" fontId="90" fillId="0" borderId="32" xfId="836" applyNumberFormat="1" applyFont="1" applyFill="1" applyBorder="1"/>
    <xf numFmtId="176" fontId="92" fillId="0" borderId="0" xfId="836" applyNumberFormat="1" applyFont="1" applyFill="1" applyBorder="1"/>
    <xf numFmtId="171" fontId="90" fillId="0" borderId="0" xfId="0" applyNumberFormat="1" applyFont="1"/>
    <xf numFmtId="173" fontId="91" fillId="0" borderId="0" xfId="0" applyNumberFormat="1" applyFont="1"/>
    <xf numFmtId="188" fontId="91" fillId="0" borderId="0" xfId="950" applyNumberFormat="1" applyFont="1" applyFill="1" applyBorder="1"/>
    <xf numFmtId="0" fontId="91" fillId="0" borderId="33" xfId="0" applyFont="1" applyBorder="1"/>
    <xf numFmtId="0" fontId="91" fillId="0" borderId="34" xfId="0" applyFont="1" applyBorder="1" applyAlignment="1">
      <alignment horizontal="center"/>
    </xf>
    <xf numFmtId="186" fontId="91" fillId="0" borderId="34" xfId="836" applyNumberFormat="1" applyFont="1" applyFill="1" applyBorder="1"/>
    <xf numFmtId="186" fontId="91" fillId="0" borderId="44" xfId="836" applyNumberFormat="1" applyFont="1" applyFill="1" applyBorder="1"/>
    <xf numFmtId="0" fontId="97" fillId="0" borderId="24" xfId="0" applyFont="1" applyBorder="1"/>
    <xf numFmtId="0" fontId="98" fillId="0" borderId="0" xfId="0" applyFont="1"/>
    <xf numFmtId="170" fontId="98" fillId="0" borderId="0" xfId="0" applyNumberFormat="1" applyFont="1"/>
    <xf numFmtId="169" fontId="98" fillId="0" borderId="0" xfId="836" applyNumberFormat="1" applyFont="1"/>
    <xf numFmtId="186" fontId="91" fillId="0" borderId="0" xfId="836" applyNumberFormat="1" applyFont="1" applyBorder="1"/>
    <xf numFmtId="188" fontId="91" fillId="0" borderId="0" xfId="950" applyNumberFormat="1" applyFont="1" applyBorder="1"/>
    <xf numFmtId="189" fontId="98" fillId="0" borderId="0" xfId="0" applyNumberFormat="1" applyFont="1"/>
    <xf numFmtId="176" fontId="91" fillId="0" borderId="0" xfId="836" applyNumberFormat="1" applyFont="1"/>
    <xf numFmtId="186" fontId="91" fillId="0" borderId="31" xfId="836" applyNumberFormat="1" applyFont="1" applyBorder="1"/>
    <xf numFmtId="186" fontId="91" fillId="0" borderId="32" xfId="836" applyNumberFormat="1" applyFont="1" applyBorder="1"/>
    <xf numFmtId="182" fontId="91" fillId="0" borderId="0" xfId="0" applyNumberFormat="1" applyFont="1"/>
    <xf numFmtId="187" fontId="91" fillId="0" borderId="0" xfId="950" applyNumberFormat="1" applyFont="1"/>
    <xf numFmtId="174" fontId="90" fillId="0" borderId="0" xfId="0" applyNumberFormat="1" applyFont="1"/>
    <xf numFmtId="186" fontId="90" fillId="0" borderId="31" xfId="836" applyNumberFormat="1" applyFont="1" applyBorder="1"/>
    <xf numFmtId="186" fontId="90" fillId="0" borderId="32" xfId="836" applyNumberFormat="1" applyFont="1" applyBorder="1"/>
    <xf numFmtId="0" fontId="97" fillId="0" borderId="0" xfId="0" applyFont="1"/>
    <xf numFmtId="170" fontId="97" fillId="0" borderId="0" xfId="0" applyNumberFormat="1" applyFont="1"/>
    <xf numFmtId="2" fontId="98" fillId="0" borderId="0" xfId="0" applyNumberFormat="1" applyFont="1"/>
    <xf numFmtId="10" fontId="98" fillId="0" borderId="0" xfId="950" applyNumberFormat="1" applyFont="1"/>
    <xf numFmtId="0" fontId="94" fillId="93" borderId="34" xfId="0" applyFont="1" applyFill="1" applyBorder="1" applyAlignment="1">
      <alignment horizontal="center"/>
    </xf>
    <xf numFmtId="186" fontId="93" fillId="93" borderId="34" xfId="836" applyNumberFormat="1" applyFont="1" applyFill="1" applyBorder="1"/>
    <xf numFmtId="186" fontId="93" fillId="93" borderId="35" xfId="836" applyNumberFormat="1" applyFont="1" applyFill="1" applyBorder="1"/>
    <xf numFmtId="173" fontId="90" fillId="0" borderId="0" xfId="0" applyNumberFormat="1" applyFont="1"/>
    <xf numFmtId="2" fontId="98" fillId="0" borderId="0" xfId="950" applyNumberFormat="1" applyFont="1" applyFill="1"/>
    <xf numFmtId="10" fontId="98" fillId="0" borderId="0" xfId="950" applyNumberFormat="1" applyFont="1" applyFill="1" applyBorder="1"/>
    <xf numFmtId="0" fontId="91" fillId="94" borderId="27" xfId="0" applyFont="1" applyFill="1" applyBorder="1"/>
    <xf numFmtId="169" fontId="91" fillId="94" borderId="29" xfId="836" applyNumberFormat="1" applyFont="1" applyFill="1" applyBorder="1"/>
    <xf numFmtId="0" fontId="91" fillId="94" borderId="30" xfId="0" applyFont="1" applyFill="1" applyBorder="1"/>
    <xf numFmtId="49" fontId="91" fillId="94" borderId="31" xfId="836" applyNumberFormat="1" applyFont="1" applyFill="1" applyBorder="1" applyAlignment="1">
      <alignment horizontal="left"/>
    </xf>
    <xf numFmtId="169" fontId="91" fillId="94" borderId="32" xfId="836" applyNumberFormat="1" applyFont="1" applyFill="1" applyBorder="1"/>
    <xf numFmtId="170" fontId="90" fillId="0" borderId="0" xfId="0" applyNumberFormat="1" applyFont="1"/>
    <xf numFmtId="186" fontId="91" fillId="94" borderId="32" xfId="836" applyNumberFormat="1" applyFont="1" applyFill="1" applyBorder="1"/>
    <xf numFmtId="10" fontId="91" fillId="0" borderId="0" xfId="950" applyNumberFormat="1" applyFont="1" applyFill="1"/>
    <xf numFmtId="0" fontId="91" fillId="94" borderId="33" xfId="0" applyFont="1" applyFill="1" applyBorder="1"/>
    <xf numFmtId="49" fontId="91" fillId="94" borderId="34" xfId="836" applyNumberFormat="1" applyFont="1" applyFill="1" applyBorder="1" applyAlignment="1">
      <alignment horizontal="left"/>
    </xf>
    <xf numFmtId="186" fontId="91" fillId="94" borderId="35" xfId="836" applyNumberFormat="1" applyFont="1" applyFill="1" applyBorder="1"/>
    <xf numFmtId="10" fontId="91" fillId="0" borderId="0" xfId="950" applyNumberFormat="1" applyFont="1"/>
    <xf numFmtId="49" fontId="93" fillId="93" borderId="27" xfId="836" applyNumberFormat="1" applyFont="1" applyFill="1" applyBorder="1" applyAlignment="1">
      <alignment horizontal="left"/>
    </xf>
    <xf numFmtId="10" fontId="92" fillId="0" borderId="0" xfId="0" applyNumberFormat="1" applyFont="1"/>
    <xf numFmtId="169" fontId="91" fillId="0" borderId="0" xfId="0" applyNumberFormat="1" applyFont="1"/>
    <xf numFmtId="170" fontId="92" fillId="0" borderId="0" xfId="0" applyNumberFormat="1" applyFont="1"/>
    <xf numFmtId="0" fontId="94" fillId="93" borderId="33" xfId="0" applyFont="1" applyFill="1" applyBorder="1"/>
    <xf numFmtId="183" fontId="93" fillId="93" borderId="34" xfId="0" applyNumberFormat="1" applyFont="1" applyFill="1" applyBorder="1"/>
    <xf numFmtId="183" fontId="93" fillId="93" borderId="35" xfId="0" applyNumberFormat="1" applyFont="1" applyFill="1" applyBorder="1"/>
    <xf numFmtId="183" fontId="90" fillId="0" borderId="0" xfId="0" applyNumberFormat="1" applyFont="1"/>
    <xf numFmtId="170" fontId="91" fillId="95" borderId="0" xfId="0" applyNumberFormat="1" applyFont="1" applyFill="1"/>
    <xf numFmtId="169" fontId="91" fillId="0" borderId="0" xfId="828" applyNumberFormat="1" applyFont="1"/>
    <xf numFmtId="176" fontId="91" fillId="0" borderId="0" xfId="836" applyNumberFormat="1" applyFont="1" applyFill="1"/>
    <xf numFmtId="172" fontId="91" fillId="0" borderId="25" xfId="0" applyNumberFormat="1" applyFont="1" applyBorder="1"/>
    <xf numFmtId="177" fontId="91" fillId="0" borderId="25" xfId="836" applyNumberFormat="1" applyFont="1" applyBorder="1"/>
    <xf numFmtId="190" fontId="91" fillId="0" borderId="31" xfId="0" applyNumberFormat="1" applyFont="1" applyBorder="1" applyAlignment="1">
      <alignment horizontal="right"/>
    </xf>
    <xf numFmtId="190" fontId="91" fillId="0" borderId="0" xfId="0" applyNumberFormat="1" applyFont="1"/>
    <xf numFmtId="4" fontId="91" fillId="95" borderId="0" xfId="0" applyNumberFormat="1" applyFont="1" applyFill="1"/>
    <xf numFmtId="172" fontId="91" fillId="0" borderId="0" xfId="0" applyNumberFormat="1" applyFont="1"/>
    <xf numFmtId="185" fontId="91" fillId="0" borderId="0" xfId="0" applyNumberFormat="1" applyFont="1"/>
    <xf numFmtId="10" fontId="99" fillId="0" borderId="0" xfId="0" applyNumberFormat="1" applyFont="1"/>
    <xf numFmtId="190" fontId="90" fillId="0" borderId="31" xfId="0" applyNumberFormat="1" applyFont="1" applyBorder="1" applyAlignment="1">
      <alignment horizontal="right"/>
    </xf>
    <xf numFmtId="0" fontId="100" fillId="0" borderId="0" xfId="0" applyFont="1"/>
    <xf numFmtId="0" fontId="101" fillId="0" borderId="0" xfId="0" applyFont="1"/>
    <xf numFmtId="170" fontId="101" fillId="0" borderId="0" xfId="0" applyNumberFormat="1" applyFont="1"/>
    <xf numFmtId="169" fontId="91" fillId="0" borderId="0" xfId="836" applyNumberFormat="1" applyFont="1" applyFill="1" applyBorder="1"/>
    <xf numFmtId="180" fontId="92" fillId="0" borderId="0" xfId="0" applyNumberFormat="1" applyFont="1"/>
    <xf numFmtId="169" fontId="91" fillId="0" borderId="0" xfId="836" applyNumberFormat="1" applyFont="1" applyBorder="1"/>
    <xf numFmtId="2" fontId="101" fillId="0" borderId="0" xfId="0" applyNumberFormat="1" applyFont="1"/>
    <xf numFmtId="10" fontId="91" fillId="0" borderId="0" xfId="950" applyNumberFormat="1" applyFont="1" applyBorder="1"/>
    <xf numFmtId="10" fontId="92" fillId="0" borderId="0" xfId="950" applyNumberFormat="1" applyFont="1" applyFill="1" applyBorder="1"/>
    <xf numFmtId="10" fontId="101" fillId="0" borderId="0" xfId="0" applyNumberFormat="1" applyFont="1"/>
    <xf numFmtId="0" fontId="101" fillId="0" borderId="0" xfId="0" quotePrefix="1" applyFont="1"/>
    <xf numFmtId="175" fontId="90" fillId="0" borderId="0" xfId="0" applyNumberFormat="1" applyFont="1"/>
    <xf numFmtId="181" fontId="91" fillId="0" borderId="0" xfId="0" applyNumberFormat="1" applyFont="1"/>
    <xf numFmtId="10" fontId="91" fillId="0" borderId="0" xfId="0" applyNumberFormat="1" applyFont="1"/>
    <xf numFmtId="0" fontId="102" fillId="0" borderId="30" xfId="0" applyFont="1" applyBorder="1"/>
    <xf numFmtId="190" fontId="102" fillId="0" borderId="31" xfId="0" applyNumberFormat="1" applyFont="1" applyBorder="1" applyAlignment="1">
      <alignment horizontal="right"/>
    </xf>
    <xf numFmtId="0" fontId="90" fillId="0" borderId="33" xfId="0" applyFont="1" applyBorder="1"/>
    <xf numFmtId="190" fontId="90" fillId="0" borderId="34" xfId="0" applyNumberFormat="1" applyFont="1" applyBorder="1" applyAlignment="1">
      <alignment horizontal="right"/>
    </xf>
    <xf numFmtId="198" fontId="91" fillId="0" borderId="0" xfId="828" applyNumberFormat="1" applyFont="1"/>
    <xf numFmtId="4" fontId="91" fillId="0" borderId="0" xfId="0" applyNumberFormat="1" applyFont="1"/>
    <xf numFmtId="0" fontId="103" fillId="0" borderId="0" xfId="1704"/>
    <xf numFmtId="0" fontId="79" fillId="0" borderId="37" xfId="0" applyFont="1" applyBorder="1" applyAlignment="1">
      <alignment horizontal="center"/>
    </xf>
    <xf numFmtId="203" fontId="70" fillId="0" borderId="0" xfId="0" applyNumberFormat="1" applyFont="1" applyAlignment="1">
      <alignment horizontal="right" vertical="center"/>
    </xf>
    <xf numFmtId="203" fontId="71" fillId="0" borderId="0" xfId="0" applyNumberFormat="1" applyFont="1" applyAlignment="1">
      <alignment horizontal="right" vertical="center"/>
    </xf>
    <xf numFmtId="203" fontId="70" fillId="0" borderId="37" xfId="0" applyNumberFormat="1" applyFont="1" applyBorder="1" applyAlignment="1">
      <alignment horizontal="right" vertical="center"/>
    </xf>
    <xf numFmtId="0" fontId="85" fillId="0" borderId="42" xfId="0" applyFont="1" applyBorder="1" applyAlignment="1">
      <alignment horizontal="left" vertical="center" wrapText="1"/>
    </xf>
    <xf numFmtId="191" fontId="85" fillId="73" borderId="71" xfId="904" applyNumberFormat="1" applyFont="1" applyFill="1" applyBorder="1" applyAlignment="1">
      <alignment horizontal="center" vertical="center"/>
    </xf>
    <xf numFmtId="191" fontId="85" fillId="73" borderId="72" xfId="904" applyNumberFormat="1" applyFont="1" applyFill="1" applyBorder="1" applyAlignment="1">
      <alignment horizontal="center" vertical="center"/>
    </xf>
    <xf numFmtId="203" fontId="86" fillId="0" borderId="0" xfId="0" applyNumberFormat="1" applyFont="1" applyAlignment="1">
      <alignment wrapText="1"/>
    </xf>
    <xf numFmtId="203" fontId="91" fillId="0" borderId="56" xfId="904" applyNumberFormat="1" applyFont="1" applyBorder="1" applyAlignment="1">
      <alignment vertical="center"/>
    </xf>
    <xf numFmtId="204" fontId="86" fillId="0" borderId="1" xfId="904" applyNumberFormat="1" applyFont="1" applyBorder="1" applyAlignment="1">
      <alignment vertical="center"/>
    </xf>
    <xf numFmtId="0" fontId="91" fillId="0" borderId="42" xfId="877" applyFont="1" applyBorder="1" applyAlignment="1">
      <alignment horizontal="left" vertical="center" wrapText="1"/>
    </xf>
    <xf numFmtId="201" fontId="104" fillId="0" borderId="0" xfId="0" applyNumberFormat="1" applyFont="1"/>
    <xf numFmtId="165" fontId="86" fillId="0" borderId="0" xfId="903" applyNumberFormat="1" applyFont="1" applyAlignment="1">
      <alignment vertical="center"/>
    </xf>
    <xf numFmtId="165" fontId="88" fillId="100" borderId="73" xfId="904" applyNumberFormat="1" applyFont="1" applyFill="1" applyBorder="1" applyAlignment="1">
      <alignment vertical="center"/>
    </xf>
    <xf numFmtId="165" fontId="87" fillId="100" borderId="73" xfId="904" applyNumberFormat="1" applyFont="1" applyFill="1" applyBorder="1" applyAlignment="1">
      <alignment vertical="center"/>
    </xf>
    <xf numFmtId="165" fontId="88" fillId="100" borderId="73" xfId="903" applyNumberFormat="1" applyFont="1" applyFill="1" applyBorder="1" applyAlignment="1">
      <alignment vertical="center"/>
    </xf>
    <xf numFmtId="3" fontId="88" fillId="0" borderId="0" xfId="904" applyNumberFormat="1" applyFont="1"/>
    <xf numFmtId="202" fontId="88" fillId="0" borderId="0" xfId="950" applyNumberFormat="1" applyFont="1" applyFill="1" applyBorder="1" applyAlignment="1">
      <alignment vertical="center"/>
    </xf>
    <xf numFmtId="165" fontId="86" fillId="0" borderId="1" xfId="904" applyNumberFormat="1" applyFont="1" applyBorder="1" applyAlignment="1">
      <alignment vertical="center"/>
    </xf>
    <xf numFmtId="165" fontId="86" fillId="0" borderId="47" xfId="904" applyNumberFormat="1" applyFont="1" applyBorder="1" applyAlignment="1">
      <alignment vertical="center"/>
    </xf>
    <xf numFmtId="165" fontId="85" fillId="73" borderId="1" xfId="904" applyNumberFormat="1" applyFont="1" applyFill="1" applyBorder="1" applyAlignment="1">
      <alignment vertical="center"/>
    </xf>
    <xf numFmtId="165" fontId="85" fillId="73" borderId="47" xfId="904" applyNumberFormat="1" applyFont="1" applyFill="1" applyBorder="1" applyAlignment="1">
      <alignment vertical="center"/>
    </xf>
    <xf numFmtId="165" fontId="85" fillId="73" borderId="1" xfId="904" applyNumberFormat="1" applyFont="1" applyFill="1" applyBorder="1" applyAlignment="1">
      <alignment horizontal="right" vertical="center"/>
    </xf>
    <xf numFmtId="165" fontId="85" fillId="73" borderId="47" xfId="904" applyNumberFormat="1" applyFont="1" applyFill="1" applyBorder="1" applyAlignment="1">
      <alignment horizontal="right" vertical="center"/>
    </xf>
    <xf numFmtId="165" fontId="85" fillId="0" borderId="1" xfId="904" applyNumberFormat="1" applyFont="1" applyBorder="1" applyAlignment="1">
      <alignment vertical="center"/>
    </xf>
    <xf numFmtId="165" fontId="85" fillId="0" borderId="47" xfId="904" applyNumberFormat="1" applyFont="1" applyBorder="1" applyAlignment="1">
      <alignment vertical="center"/>
    </xf>
    <xf numFmtId="165" fontId="85" fillId="73" borderId="48" xfId="904" applyNumberFormat="1" applyFont="1" applyFill="1" applyBorder="1" applyAlignment="1">
      <alignment vertical="center"/>
    </xf>
    <xf numFmtId="165" fontId="85" fillId="73" borderId="49" xfId="904" applyNumberFormat="1" applyFont="1" applyFill="1" applyBorder="1" applyAlignment="1">
      <alignment vertical="center"/>
    </xf>
    <xf numFmtId="165" fontId="85" fillId="0" borderId="60" xfId="904" applyNumberFormat="1" applyFont="1" applyBorder="1" applyAlignment="1">
      <alignment vertical="center"/>
    </xf>
    <xf numFmtId="165" fontId="85" fillId="0" borderId="66" xfId="904" applyNumberFormat="1" applyFont="1" applyBorder="1" applyAlignment="1">
      <alignment vertical="center"/>
    </xf>
    <xf numFmtId="165" fontId="86" fillId="0" borderId="0" xfId="903" applyNumberFormat="1" applyFont="1"/>
    <xf numFmtId="202" fontId="88" fillId="0" borderId="0" xfId="903" applyNumberFormat="1" applyFont="1" applyAlignment="1">
      <alignment vertical="center"/>
    </xf>
    <xf numFmtId="202" fontId="88" fillId="0" borderId="0" xfId="903" applyNumberFormat="1" applyFont="1" applyAlignment="1">
      <alignment horizontal="center" vertical="center"/>
    </xf>
    <xf numFmtId="165" fontId="87" fillId="100" borderId="83" xfId="904" applyNumberFormat="1" applyFont="1" applyFill="1" applyBorder="1" applyAlignment="1">
      <alignment horizontal="center" vertical="center"/>
    </xf>
    <xf numFmtId="202" fontId="87" fillId="100" borderId="84" xfId="904" applyNumberFormat="1" applyFont="1" applyFill="1" applyBorder="1" applyAlignment="1">
      <alignment horizontal="center" vertical="center"/>
    </xf>
    <xf numFmtId="202" fontId="88" fillId="100" borderId="74" xfId="950" applyNumberFormat="1" applyFont="1" applyFill="1" applyBorder="1" applyAlignment="1">
      <alignment vertical="center"/>
    </xf>
    <xf numFmtId="165" fontId="87" fillId="100" borderId="77" xfId="904" applyNumberFormat="1" applyFont="1" applyFill="1" applyBorder="1" applyAlignment="1">
      <alignment vertical="center"/>
    </xf>
    <xf numFmtId="202" fontId="87" fillId="100" borderId="78" xfId="950" applyNumberFormat="1" applyFont="1" applyFill="1" applyBorder="1" applyAlignment="1">
      <alignment vertical="center"/>
    </xf>
    <xf numFmtId="202" fontId="88" fillId="100" borderId="74" xfId="904" applyNumberFormat="1" applyFont="1" applyFill="1" applyBorder="1" applyAlignment="1">
      <alignment vertical="center"/>
    </xf>
    <xf numFmtId="165" fontId="88" fillId="100" borderId="75" xfId="904" applyNumberFormat="1" applyFont="1" applyFill="1" applyBorder="1" applyAlignment="1">
      <alignment vertical="center"/>
    </xf>
    <xf numFmtId="202" fontId="88" fillId="100" borderId="76" xfId="904" applyNumberFormat="1" applyFont="1" applyFill="1" applyBorder="1" applyAlignment="1">
      <alignment vertical="center"/>
    </xf>
    <xf numFmtId="202" fontId="87" fillId="100" borderId="78" xfId="904" applyNumberFormat="1" applyFont="1" applyFill="1" applyBorder="1" applyAlignment="1">
      <alignment vertical="center"/>
    </xf>
    <xf numFmtId="165" fontId="87" fillId="100" borderId="79" xfId="904" applyNumberFormat="1" applyFont="1" applyFill="1" applyBorder="1" applyAlignment="1">
      <alignment horizontal="center" vertical="center"/>
    </xf>
    <xf numFmtId="202" fontId="87" fillId="100" borderId="80" xfId="0" applyNumberFormat="1" applyFont="1" applyFill="1" applyBorder="1" applyAlignment="1">
      <alignment horizontal="center" vertical="center"/>
    </xf>
    <xf numFmtId="202" fontId="88" fillId="100" borderId="74" xfId="0" applyNumberFormat="1" applyFont="1" applyFill="1" applyBorder="1" applyAlignment="1">
      <alignment horizontal="center" vertical="center" wrapText="1"/>
    </xf>
    <xf numFmtId="202" fontId="88" fillId="100" borderId="74" xfId="1700" applyNumberFormat="1" applyFont="1" applyFill="1" applyBorder="1" applyAlignment="1">
      <alignment horizontal="center" vertical="center" wrapText="1"/>
    </xf>
    <xf numFmtId="202" fontId="87" fillId="100" borderId="74" xfId="0" applyNumberFormat="1" applyFont="1" applyFill="1" applyBorder="1" applyAlignment="1">
      <alignment horizontal="center" vertical="center" wrapText="1"/>
    </xf>
    <xf numFmtId="202" fontId="87" fillId="100" borderId="78" xfId="0" applyNumberFormat="1" applyFont="1" applyFill="1" applyBorder="1" applyAlignment="1">
      <alignment horizontal="center" vertical="center" wrapText="1"/>
    </xf>
    <xf numFmtId="202" fontId="87" fillId="100" borderId="74" xfId="1700" applyNumberFormat="1" applyFont="1" applyFill="1" applyBorder="1" applyAlignment="1">
      <alignment horizontal="center" vertical="center" wrapText="1"/>
    </xf>
    <xf numFmtId="203" fontId="85" fillId="96" borderId="56" xfId="904" applyNumberFormat="1" applyFont="1" applyFill="1" applyBorder="1" applyAlignment="1">
      <alignment vertical="center"/>
    </xf>
    <xf numFmtId="203" fontId="85" fillId="96" borderId="1" xfId="904" applyNumberFormat="1" applyFont="1" applyFill="1" applyBorder="1" applyAlignment="1">
      <alignment vertical="center"/>
    </xf>
    <xf numFmtId="165" fontId="86" fillId="0" borderId="43" xfId="0" applyNumberFormat="1" applyFont="1" applyBorder="1" applyAlignment="1">
      <alignment horizontal="right" vertical="center" wrapText="1"/>
    </xf>
    <xf numFmtId="165" fontId="85" fillId="0" borderId="43" xfId="0" applyNumberFormat="1" applyFont="1" applyBorder="1" applyAlignment="1">
      <alignment horizontal="right" vertical="center" wrapText="1"/>
    </xf>
    <xf numFmtId="165" fontId="85" fillId="0" borderId="45" xfId="0" applyNumberFormat="1" applyFont="1" applyBorder="1" applyAlignment="1">
      <alignment horizontal="right" vertical="center" wrapText="1"/>
    </xf>
    <xf numFmtId="165" fontId="85" fillId="96" borderId="43" xfId="0" applyNumberFormat="1" applyFont="1" applyFill="1" applyBorder="1" applyAlignment="1">
      <alignment horizontal="right" vertical="center" wrapText="1"/>
    </xf>
    <xf numFmtId="165" fontId="85" fillId="96" borderId="43" xfId="0" applyNumberFormat="1" applyFont="1" applyFill="1" applyBorder="1" applyAlignment="1">
      <alignment vertical="center" wrapText="1"/>
    </xf>
    <xf numFmtId="165" fontId="86" fillId="96" borderId="43" xfId="0" applyNumberFormat="1" applyFont="1" applyFill="1" applyBorder="1" applyAlignment="1">
      <alignment horizontal="right" vertical="center" wrapText="1"/>
    </xf>
    <xf numFmtId="165" fontId="86" fillId="96" borderId="45" xfId="0" applyNumberFormat="1" applyFont="1" applyFill="1" applyBorder="1" applyAlignment="1">
      <alignment horizontal="right" vertical="center" wrapText="1"/>
    </xf>
    <xf numFmtId="165" fontId="85" fillId="96" borderId="50" xfId="0" applyNumberFormat="1" applyFont="1" applyFill="1" applyBorder="1" applyAlignment="1">
      <alignment vertical="center" wrapText="1"/>
    </xf>
    <xf numFmtId="165" fontId="68" fillId="0" borderId="0" xfId="903" applyNumberFormat="1" applyFont="1"/>
    <xf numFmtId="49" fontId="91" fillId="94" borderId="28" xfId="836" applyNumberFormat="1" applyFont="1" applyFill="1" applyBorder="1" applyAlignment="1">
      <alignment horizontal="center"/>
    </xf>
    <xf numFmtId="49" fontId="91" fillId="94" borderId="31" xfId="836" applyNumberFormat="1" applyFont="1" applyFill="1" applyBorder="1" applyAlignment="1">
      <alignment horizontal="center"/>
    </xf>
    <xf numFmtId="0" fontId="79" fillId="0" borderId="65" xfId="0" applyFont="1" applyBorder="1" applyAlignment="1">
      <alignment horizontal="right" vertical="center"/>
    </xf>
    <xf numFmtId="0" fontId="79" fillId="0" borderId="65" xfId="0" applyFont="1" applyBorder="1" applyAlignment="1">
      <alignment horizontal="center" vertical="center"/>
    </xf>
    <xf numFmtId="165" fontId="76" fillId="0" borderId="0" xfId="1700" applyFont="1" applyAlignment="1">
      <alignment horizontal="right" vertical="center"/>
    </xf>
    <xf numFmtId="165" fontId="79" fillId="0" borderId="0" xfId="1700" applyFont="1" applyAlignment="1">
      <alignment horizontal="right" vertical="center"/>
    </xf>
    <xf numFmtId="165" fontId="91" fillId="99" borderId="0" xfId="1700" applyFont="1" applyFill="1"/>
    <xf numFmtId="165" fontId="69" fillId="99" borderId="0" xfId="1700" applyFont="1" applyFill="1"/>
    <xf numFmtId="0" fontId="90" fillId="96" borderId="25" xfId="0" applyFont="1" applyFill="1" applyBorder="1"/>
    <xf numFmtId="0" fontId="90" fillId="0" borderId="88" xfId="0" applyFont="1" applyBorder="1"/>
    <xf numFmtId="3" fontId="91" fillId="0" borderId="0" xfId="0" applyNumberFormat="1" applyFont="1"/>
    <xf numFmtId="3" fontId="90" fillId="0" borderId="0" xfId="0" applyNumberFormat="1" applyFont="1"/>
    <xf numFmtId="10" fontId="90" fillId="0" borderId="0" xfId="1699" applyNumberFormat="1" applyFont="1"/>
    <xf numFmtId="165" fontId="68" fillId="0" borderId="0" xfId="1700" applyFont="1"/>
    <xf numFmtId="202" fontId="87" fillId="0" borderId="0" xfId="903" applyNumberFormat="1" applyFont="1" applyAlignment="1">
      <alignment horizontal="center" vertical="center"/>
    </xf>
    <xf numFmtId="3" fontId="87" fillId="0" borderId="0" xfId="904" applyNumberFormat="1" applyFont="1" applyAlignment="1">
      <alignment horizontal="center" vertical="center"/>
    </xf>
    <xf numFmtId="202" fontId="87" fillId="0" borderId="0" xfId="904" applyNumberFormat="1" applyFont="1" applyAlignment="1">
      <alignment horizontal="center" vertical="center"/>
    </xf>
    <xf numFmtId="202" fontId="88" fillId="0" borderId="0" xfId="904" applyNumberFormat="1" applyFont="1" applyAlignment="1">
      <alignment vertical="center"/>
    </xf>
    <xf numFmtId="202" fontId="87" fillId="0" borderId="0" xfId="904" applyNumberFormat="1" applyFont="1" applyAlignment="1">
      <alignment vertical="center"/>
    </xf>
    <xf numFmtId="0" fontId="76" fillId="0" borderId="0" xfId="0" applyFont="1" applyAlignment="1">
      <alignment horizontal="right"/>
    </xf>
    <xf numFmtId="165" fontId="71" fillId="0" borderId="0" xfId="0" applyNumberFormat="1" applyFont="1" applyAlignment="1">
      <alignment vertical="center"/>
    </xf>
    <xf numFmtId="165" fontId="70" fillId="0" borderId="0" xfId="0" applyNumberFormat="1" applyFont="1" applyAlignment="1">
      <alignment vertical="center"/>
    </xf>
    <xf numFmtId="165" fontId="72" fillId="0" borderId="0" xfId="0" applyNumberFormat="1" applyFont="1"/>
    <xf numFmtId="201" fontId="69" fillId="0" borderId="0" xfId="0" applyNumberFormat="1" applyFont="1"/>
    <xf numFmtId="0" fontId="71" fillId="0" borderId="25" xfId="0" applyFont="1" applyBorder="1" applyAlignment="1">
      <alignment vertical="center"/>
    </xf>
    <xf numFmtId="0" fontId="71" fillId="0" borderId="25" xfId="0" applyFont="1" applyBorder="1" applyAlignment="1">
      <alignment horizontal="center" vertical="center"/>
    </xf>
    <xf numFmtId="203" fontId="70" fillId="0" borderId="25" xfId="0" applyNumberFormat="1" applyFont="1" applyBorder="1" applyAlignment="1">
      <alignment horizontal="right" vertical="center"/>
    </xf>
    <xf numFmtId="203" fontId="71" fillId="0" borderId="25" xfId="0" applyNumberFormat="1" applyFont="1" applyBorder="1" applyAlignment="1">
      <alignment horizontal="right" vertical="center"/>
    </xf>
    <xf numFmtId="165" fontId="70" fillId="0" borderId="0" xfId="1700" applyFont="1" applyAlignment="1">
      <alignment horizontal="right" vertical="center"/>
    </xf>
    <xf numFmtId="202" fontId="70" fillId="0" borderId="0" xfId="0" applyNumberFormat="1" applyFont="1" applyAlignment="1">
      <alignment horizontal="center" vertical="center"/>
    </xf>
    <xf numFmtId="3" fontId="105" fillId="0" borderId="0" xfId="903" applyNumberFormat="1" applyFont="1"/>
    <xf numFmtId="165" fontId="105" fillId="0" borderId="0" xfId="1700" applyFont="1" applyFill="1" applyBorder="1"/>
    <xf numFmtId="165" fontId="90" fillId="0" borderId="0" xfId="0" applyNumberFormat="1" applyFont="1" applyAlignment="1">
      <alignment horizontal="center"/>
    </xf>
    <xf numFmtId="0" fontId="90" fillId="0" borderId="0" xfId="0" applyFont="1" applyAlignment="1">
      <alignment horizontal="center"/>
    </xf>
    <xf numFmtId="17" fontId="90" fillId="0" borderId="0" xfId="0" applyNumberFormat="1" applyFont="1" applyAlignment="1">
      <alignment horizontal="center"/>
    </xf>
    <xf numFmtId="165" fontId="91" fillId="0" borderId="0" xfId="0" applyNumberFormat="1" applyFont="1"/>
    <xf numFmtId="165" fontId="91" fillId="0" borderId="25" xfId="0" applyNumberFormat="1" applyFont="1" applyBorder="1"/>
    <xf numFmtId="165" fontId="90" fillId="0" borderId="0" xfId="0" applyNumberFormat="1" applyFont="1"/>
    <xf numFmtId="0" fontId="94" fillId="0" borderId="0" xfId="0" applyFont="1"/>
    <xf numFmtId="165" fontId="90" fillId="0" borderId="0" xfId="0" applyNumberFormat="1" applyFont="1" applyAlignment="1">
      <alignment horizontal="center" vertical="center"/>
    </xf>
    <xf numFmtId="0" fontId="90" fillId="0" borderId="0" xfId="0" applyFont="1" applyAlignment="1">
      <alignment horizontal="center" vertical="center"/>
    </xf>
    <xf numFmtId="17" fontId="90" fillId="0" borderId="0" xfId="0" applyNumberFormat="1" applyFont="1" applyAlignment="1">
      <alignment horizontal="center" vertical="center"/>
    </xf>
    <xf numFmtId="165" fontId="91" fillId="0" borderId="0" xfId="1700" applyFont="1"/>
    <xf numFmtId="0" fontId="85" fillId="99" borderId="0" xfId="0" applyFont="1" applyFill="1"/>
    <xf numFmtId="0" fontId="105" fillId="99" borderId="0" xfId="0" applyFont="1" applyFill="1" applyAlignment="1">
      <alignment horizontal="center"/>
    </xf>
    <xf numFmtId="165" fontId="106" fillId="99" borderId="0" xfId="1700" applyFont="1" applyFill="1"/>
    <xf numFmtId="0" fontId="86" fillId="101" borderId="0" xfId="0" applyFont="1" applyFill="1" applyAlignment="1">
      <alignment wrapText="1"/>
    </xf>
    <xf numFmtId="203" fontId="86" fillId="101" borderId="0" xfId="0" applyNumberFormat="1" applyFont="1" applyFill="1" applyAlignment="1">
      <alignment wrapText="1"/>
    </xf>
    <xf numFmtId="165" fontId="86" fillId="0" borderId="0" xfId="0" applyNumberFormat="1" applyFont="1" applyAlignment="1">
      <alignment wrapText="1"/>
    </xf>
    <xf numFmtId="188" fontId="91" fillId="0" borderId="0" xfId="1699" applyNumberFormat="1" applyFont="1"/>
    <xf numFmtId="0" fontId="70" fillId="0" borderId="65" xfId="0" applyFont="1" applyBorder="1" applyAlignment="1">
      <alignment horizontal="center" vertical="center"/>
    </xf>
    <xf numFmtId="188" fontId="72" fillId="0" borderId="0" xfId="0" applyNumberFormat="1" applyFont="1"/>
    <xf numFmtId="188" fontId="82" fillId="0" borderId="0" xfId="950" applyNumberFormat="1" applyFont="1" applyFill="1"/>
    <xf numFmtId="0" fontId="107" fillId="0" borderId="0" xfId="0" applyFont="1" applyAlignment="1">
      <alignment vertical="center" wrapText="1"/>
    </xf>
    <xf numFmtId="205" fontId="71" fillId="0" borderId="0" xfId="0" applyNumberFormat="1" applyFont="1"/>
    <xf numFmtId="165" fontId="88" fillId="101" borderId="73" xfId="904" applyNumberFormat="1" applyFont="1" applyFill="1" applyBorder="1" applyAlignment="1">
      <alignment vertical="center"/>
    </xf>
    <xf numFmtId="14" fontId="90" fillId="73" borderId="90" xfId="904" applyNumberFormat="1" applyFont="1" applyFill="1" applyBorder="1" applyAlignment="1">
      <alignment horizontal="center" vertical="center"/>
    </xf>
    <xf numFmtId="10" fontId="90" fillId="0" borderId="88" xfId="0" applyNumberFormat="1" applyFont="1" applyBorder="1"/>
    <xf numFmtId="10" fontId="70" fillId="0" borderId="0" xfId="950" applyNumberFormat="1" applyFont="1"/>
    <xf numFmtId="0" fontId="81" fillId="101" borderId="0" xfId="0" applyFont="1" applyFill="1"/>
    <xf numFmtId="3" fontId="81" fillId="101" borderId="0" xfId="0" applyNumberFormat="1" applyFont="1" applyFill="1"/>
    <xf numFmtId="10" fontId="81" fillId="101" borderId="0" xfId="950" applyNumberFormat="1" applyFont="1" applyFill="1"/>
    <xf numFmtId="10" fontId="81" fillId="0" borderId="0" xfId="950" applyNumberFormat="1" applyFont="1" applyFill="1"/>
    <xf numFmtId="10" fontId="72" fillId="0" borderId="0" xfId="0" applyNumberFormat="1" applyFont="1"/>
    <xf numFmtId="4" fontId="81" fillId="0" borderId="0" xfId="0" applyNumberFormat="1" applyFont="1"/>
    <xf numFmtId="10" fontId="82" fillId="0" borderId="0" xfId="950" applyNumberFormat="1" applyFont="1" applyFill="1"/>
    <xf numFmtId="165" fontId="72" fillId="0" borderId="0" xfId="0" applyNumberFormat="1" applyFont="1" applyAlignment="1">
      <alignment vertical="center"/>
    </xf>
    <xf numFmtId="202" fontId="72" fillId="0" borderId="0" xfId="0" applyNumberFormat="1" applyFont="1" applyAlignment="1">
      <alignment vertical="center"/>
    </xf>
    <xf numFmtId="202" fontId="71" fillId="0" borderId="0" xfId="0" applyNumberFormat="1" applyFont="1" applyAlignment="1">
      <alignment vertical="center"/>
    </xf>
    <xf numFmtId="202" fontId="70" fillId="0" borderId="0" xfId="0" applyNumberFormat="1" applyFont="1" applyAlignment="1">
      <alignment vertical="center"/>
    </xf>
    <xf numFmtId="165" fontId="72" fillId="0" borderId="0" xfId="1700" applyFont="1"/>
    <xf numFmtId="165" fontId="86" fillId="101" borderId="1" xfId="904" applyNumberFormat="1" applyFont="1" applyFill="1" applyBorder="1" applyAlignment="1">
      <alignment vertical="center"/>
    </xf>
    <xf numFmtId="0" fontId="108" fillId="0" borderId="0" xfId="0" applyFont="1" applyAlignment="1">
      <alignment horizontal="justify" vertical="center"/>
    </xf>
    <xf numFmtId="0" fontId="70" fillId="102" borderId="37" xfId="0" applyFont="1" applyFill="1" applyBorder="1" applyAlignment="1">
      <alignment vertical="center"/>
    </xf>
    <xf numFmtId="0" fontId="70" fillId="102" borderId="37" xfId="0" applyFont="1" applyFill="1" applyBorder="1" applyAlignment="1">
      <alignment horizontal="center" vertical="center"/>
    </xf>
    <xf numFmtId="0" fontId="108" fillId="102" borderId="0" xfId="0" applyFont="1" applyFill="1" applyAlignment="1">
      <alignment horizontal="justify" vertical="center"/>
    </xf>
    <xf numFmtId="0" fontId="72" fillId="102" borderId="0" xfId="0" applyFont="1" applyFill="1"/>
    <xf numFmtId="3" fontId="76" fillId="102" borderId="0" xfId="0" applyNumberFormat="1" applyFont="1" applyFill="1" applyAlignment="1">
      <alignment horizontal="right" vertical="center"/>
    </xf>
    <xf numFmtId="3" fontId="76" fillId="0" borderId="39" xfId="0" applyNumberFormat="1" applyFont="1" applyBorder="1" applyAlignment="1">
      <alignment horizontal="right" vertical="center"/>
    </xf>
    <xf numFmtId="0" fontId="71" fillId="102" borderId="0" xfId="0" applyFont="1" applyFill="1"/>
    <xf numFmtId="3" fontId="71" fillId="102" borderId="0" xfId="0" applyNumberFormat="1" applyFont="1" applyFill="1" applyAlignment="1">
      <alignment horizontal="right"/>
    </xf>
    <xf numFmtId="10" fontId="71" fillId="102" borderId="0" xfId="0" applyNumberFormat="1" applyFont="1" applyFill="1" applyAlignment="1">
      <alignment horizontal="right"/>
    </xf>
    <xf numFmtId="0" fontId="75" fillId="102" borderId="0" xfId="0" applyFont="1" applyFill="1"/>
    <xf numFmtId="0" fontId="72" fillId="102" borderId="0" xfId="0" applyFont="1" applyFill="1" applyAlignment="1">
      <alignment vertical="center"/>
    </xf>
    <xf numFmtId="0" fontId="79" fillId="102" borderId="65" xfId="0" applyFont="1" applyFill="1" applyBorder="1" applyAlignment="1">
      <alignment horizontal="center" vertical="center"/>
    </xf>
    <xf numFmtId="0" fontId="70" fillId="102" borderId="0" xfId="0" applyFont="1" applyFill="1" applyAlignment="1">
      <alignment horizontal="center" vertical="center"/>
    </xf>
    <xf numFmtId="0" fontId="79" fillId="102" borderId="0" xfId="0" applyFont="1" applyFill="1" applyAlignment="1">
      <alignment horizontal="center" vertical="center"/>
    </xf>
    <xf numFmtId="0" fontId="71" fillId="102" borderId="0" xfId="0" applyFont="1" applyFill="1" applyAlignment="1">
      <alignment vertical="center"/>
    </xf>
    <xf numFmtId="201" fontId="69" fillId="102" borderId="0" xfId="0" applyNumberFormat="1" applyFont="1" applyFill="1" applyAlignment="1">
      <alignment horizontal="right" vertical="center"/>
    </xf>
    <xf numFmtId="202" fontId="69" fillId="102" borderId="0" xfId="0" applyNumberFormat="1" applyFont="1" applyFill="1" applyAlignment="1">
      <alignment horizontal="right" vertical="center"/>
    </xf>
    <xf numFmtId="3" fontId="76" fillId="102" borderId="39" xfId="0" applyNumberFormat="1" applyFont="1" applyFill="1" applyBorder="1" applyAlignment="1">
      <alignment horizontal="right" vertical="center"/>
    </xf>
    <xf numFmtId="0" fontId="70" fillId="102" borderId="0" xfId="0" applyFont="1" applyFill="1" applyAlignment="1">
      <alignment vertical="center"/>
    </xf>
    <xf numFmtId="3" fontId="79" fillId="102" borderId="0" xfId="0" applyNumberFormat="1" applyFont="1" applyFill="1" applyAlignment="1">
      <alignment horizontal="right" vertical="center"/>
    </xf>
    <xf numFmtId="188" fontId="79" fillId="102" borderId="0" xfId="0" applyNumberFormat="1" applyFont="1" applyFill="1" applyAlignment="1">
      <alignment horizontal="right" vertical="center"/>
    </xf>
    <xf numFmtId="201" fontId="78" fillId="102" borderId="0" xfId="0" applyNumberFormat="1" applyFont="1" applyFill="1" applyAlignment="1">
      <alignment horizontal="right" vertical="center"/>
    </xf>
    <xf numFmtId="202" fontId="78" fillId="102" borderId="0" xfId="0" applyNumberFormat="1" applyFont="1" applyFill="1" applyAlignment="1">
      <alignment horizontal="right" vertical="center"/>
    </xf>
    <xf numFmtId="165" fontId="68" fillId="102" borderId="0" xfId="1700" applyFont="1" applyFill="1" applyAlignment="1">
      <alignment vertical="center"/>
    </xf>
    <xf numFmtId="165" fontId="72" fillId="102" borderId="0" xfId="1700" applyFont="1" applyFill="1" applyAlignment="1">
      <alignment vertical="center"/>
    </xf>
    <xf numFmtId="3" fontId="72" fillId="102" borderId="0" xfId="0" applyNumberFormat="1" applyFont="1" applyFill="1" applyAlignment="1">
      <alignment vertical="center"/>
    </xf>
    <xf numFmtId="0" fontId="79" fillId="102" borderId="0" xfId="0" applyFont="1" applyFill="1"/>
    <xf numFmtId="0" fontId="76" fillId="102" borderId="0" xfId="0" applyFont="1" applyFill="1" applyAlignment="1">
      <alignment vertical="center"/>
    </xf>
    <xf numFmtId="202" fontId="71" fillId="102" borderId="0" xfId="0" applyNumberFormat="1" applyFont="1" applyFill="1" applyAlignment="1">
      <alignment horizontal="right" vertical="center"/>
    </xf>
    <xf numFmtId="201" fontId="71" fillId="102" borderId="0" xfId="0" applyNumberFormat="1" applyFont="1" applyFill="1" applyAlignment="1">
      <alignment horizontal="right" vertical="center"/>
    </xf>
    <xf numFmtId="198" fontId="72" fillId="102" borderId="0" xfId="828" applyNumberFormat="1" applyFont="1" applyFill="1" applyAlignment="1">
      <alignment vertical="center"/>
    </xf>
    <xf numFmtId="0" fontId="71" fillId="102" borderId="0" xfId="0" applyFont="1" applyFill="1" applyAlignment="1">
      <alignment horizontal="right" vertical="center"/>
    </xf>
    <xf numFmtId="0" fontId="77" fillId="102" borderId="0" xfId="0" applyFont="1" applyFill="1"/>
    <xf numFmtId="0" fontId="74" fillId="102" borderId="0" xfId="0" applyFont="1" applyFill="1" applyAlignment="1">
      <alignment horizontal="justify"/>
    </xf>
    <xf numFmtId="3" fontId="68" fillId="102" borderId="0" xfId="0" applyNumberFormat="1" applyFont="1" applyFill="1"/>
    <xf numFmtId="3" fontId="70" fillId="102" borderId="0" xfId="0" applyNumberFormat="1" applyFont="1" applyFill="1"/>
    <xf numFmtId="0" fontId="68" fillId="102" borderId="0" xfId="0" applyFont="1" applyFill="1"/>
    <xf numFmtId="3" fontId="72" fillId="102" borderId="0" xfId="0" applyNumberFormat="1" applyFont="1" applyFill="1"/>
    <xf numFmtId="188" fontId="76" fillId="102" borderId="0" xfId="0" applyNumberFormat="1" applyFont="1" applyFill="1" applyAlignment="1">
      <alignment horizontal="right" vertical="center"/>
    </xf>
    <xf numFmtId="188" fontId="76" fillId="102" borderId="39" xfId="0" applyNumberFormat="1" applyFont="1" applyFill="1" applyBorder="1" applyAlignment="1">
      <alignment horizontal="right" vertical="center"/>
    </xf>
    <xf numFmtId="3" fontId="70" fillId="102" borderId="0" xfId="0" applyNumberFormat="1" applyFont="1" applyFill="1" applyAlignment="1">
      <alignment horizontal="right" vertical="center"/>
    </xf>
    <xf numFmtId="0" fontId="79" fillId="102" borderId="65" xfId="0" applyFont="1" applyFill="1" applyBorder="1" applyAlignment="1">
      <alignment horizontal="center" vertical="center"/>
    </xf>
    <xf numFmtId="0" fontId="70" fillId="102" borderId="37" xfId="0" applyFont="1" applyFill="1" applyBorder="1" applyAlignment="1">
      <alignment horizontal="center" vertical="center"/>
    </xf>
    <xf numFmtId="0" fontId="70" fillId="102" borderId="0" xfId="0" applyFont="1" applyFill="1" applyAlignment="1">
      <alignment horizontal="center" vertical="center"/>
    </xf>
    <xf numFmtId="0" fontId="79" fillId="102" borderId="87" xfId="0" applyFont="1" applyFill="1" applyBorder="1" applyAlignment="1">
      <alignment horizontal="center" vertical="center"/>
    </xf>
    <xf numFmtId="0" fontId="79" fillId="102" borderId="38" xfId="0" applyFont="1" applyFill="1" applyBorder="1" applyAlignment="1">
      <alignment horizontal="center" vertical="center"/>
    </xf>
    <xf numFmtId="0" fontId="70" fillId="102" borderId="40" xfId="0" applyFont="1" applyFill="1" applyBorder="1" applyAlignment="1">
      <alignment horizontal="center" vertical="center"/>
    </xf>
    <xf numFmtId="0" fontId="70" fillId="102" borderId="38" xfId="0" applyFont="1" applyFill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203" fontId="85" fillId="73" borderId="54" xfId="904" applyNumberFormat="1" applyFont="1" applyFill="1" applyBorder="1" applyAlignment="1">
      <alignment horizontal="left" vertical="center"/>
    </xf>
    <xf numFmtId="203" fontId="85" fillId="73" borderId="56" xfId="904" applyNumberFormat="1" applyFont="1" applyFill="1" applyBorder="1" applyAlignment="1">
      <alignment horizontal="left" vertical="center"/>
    </xf>
    <xf numFmtId="203" fontId="85" fillId="73" borderId="55" xfId="904" applyNumberFormat="1" applyFont="1" applyFill="1" applyBorder="1" applyAlignment="1">
      <alignment horizontal="center" vertical="center"/>
    </xf>
    <xf numFmtId="203" fontId="85" fillId="73" borderId="1" xfId="904" applyNumberFormat="1" applyFont="1" applyFill="1" applyBorder="1" applyAlignment="1">
      <alignment horizontal="center" vertical="center"/>
    </xf>
    <xf numFmtId="165" fontId="87" fillId="100" borderId="85" xfId="904" applyNumberFormat="1" applyFont="1" applyFill="1" applyBorder="1" applyAlignment="1">
      <alignment horizontal="center" vertical="center"/>
    </xf>
    <xf numFmtId="165" fontId="87" fillId="100" borderId="86" xfId="904" applyNumberFormat="1" applyFont="1" applyFill="1" applyBorder="1" applyAlignment="1">
      <alignment horizontal="center" vertical="center"/>
    </xf>
    <xf numFmtId="203" fontId="85" fillId="73" borderId="61" xfId="904" applyNumberFormat="1" applyFont="1" applyFill="1" applyBorder="1" applyAlignment="1">
      <alignment horizontal="left" vertical="center"/>
    </xf>
    <xf numFmtId="203" fontId="85" fillId="73" borderId="62" xfId="904" applyNumberFormat="1" applyFont="1" applyFill="1" applyBorder="1" applyAlignment="1">
      <alignment horizontal="left" vertical="center"/>
    </xf>
    <xf numFmtId="3" fontId="87" fillId="100" borderId="81" xfId="904" applyNumberFormat="1" applyFont="1" applyFill="1" applyBorder="1" applyAlignment="1">
      <alignment horizontal="center" vertical="center"/>
    </xf>
    <xf numFmtId="3" fontId="87" fillId="100" borderId="82" xfId="904" applyNumberFormat="1" applyFont="1" applyFill="1" applyBorder="1" applyAlignment="1">
      <alignment horizontal="center" vertical="center"/>
    </xf>
    <xf numFmtId="165" fontId="85" fillId="0" borderId="89" xfId="903" applyNumberFormat="1" applyFont="1" applyBorder="1" applyAlignment="1">
      <alignment horizontal="center"/>
    </xf>
    <xf numFmtId="0" fontId="85" fillId="97" borderId="70" xfId="0" applyFont="1" applyFill="1" applyBorder="1" applyAlignment="1">
      <alignment horizontal="left" vertical="center"/>
    </xf>
    <xf numFmtId="0" fontId="85" fillId="97" borderId="67" xfId="0" applyFont="1" applyFill="1" applyBorder="1" applyAlignment="1">
      <alignment horizontal="left" vertical="center"/>
    </xf>
    <xf numFmtId="0" fontId="85" fillId="97" borderId="68" xfId="0" applyFont="1" applyFill="1" applyBorder="1" applyAlignment="1">
      <alignment horizontal="center" vertical="center"/>
    </xf>
    <xf numFmtId="0" fontId="85" fillId="97" borderId="69" xfId="0" applyFont="1" applyFill="1" applyBorder="1" applyAlignment="1">
      <alignment horizontal="center" vertical="center"/>
    </xf>
    <xf numFmtId="203" fontId="86" fillId="101" borderId="1" xfId="904" applyNumberFormat="1" applyFont="1" applyFill="1" applyBorder="1" applyAlignment="1">
      <alignment vertical="center"/>
    </xf>
  </cellXfs>
  <cellStyles count="1705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81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Hipervínculo" xfId="1704" builtinId="8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" xfId="828" builtinId="3"/>
    <cellStyle name="Millares [0]" xfId="1700" builtinId="6"/>
    <cellStyle name="Millares [0] 2" xfId="1703" xr:uid="{00000000-0005-0000-0000-00003F030000}"/>
    <cellStyle name="Millares [0] 2 2" xfId="829" xr:uid="{00000000-0005-0000-0000-000040030000}"/>
    <cellStyle name="Millares 2" xfId="830" xr:uid="{00000000-0005-0000-0000-000041030000}"/>
    <cellStyle name="Millares 3" xfId="831" xr:uid="{00000000-0005-0000-0000-000042030000}"/>
    <cellStyle name="Millares 3 2" xfId="832" xr:uid="{00000000-0005-0000-0000-000043030000}"/>
    <cellStyle name="Millares 4" xfId="833" xr:uid="{00000000-0005-0000-0000-000044030000}"/>
    <cellStyle name="Millares 5" xfId="834" xr:uid="{00000000-0005-0000-0000-000045030000}"/>
    <cellStyle name="Millares 6" xfId="1702" xr:uid="{00000000-0005-0000-0000-000046030000}"/>
    <cellStyle name="Millares 7" xfId="835" xr:uid="{00000000-0005-0000-0000-000047030000}"/>
    <cellStyle name="Millares_Analisis Razonado diciemb 08" xfId="836" xr:uid="{00000000-0005-0000-0000-000048030000}"/>
    <cellStyle name="Moneda [0] 2 2" xfId="837" xr:uid="{00000000-0005-0000-0000-000049030000}"/>
    <cellStyle name="Moneda 2" xfId="838" xr:uid="{00000000-0005-0000-0000-00004A030000}"/>
    <cellStyle name="Moneda 2 2" xfId="839" xr:uid="{00000000-0005-0000-0000-00004B030000}"/>
    <cellStyle name="Moneda 2 3" xfId="840" xr:uid="{00000000-0005-0000-0000-00004C030000}"/>
    <cellStyle name="Nag?ówek 1" xfId="841" xr:uid="{00000000-0005-0000-0000-00004D030000}"/>
    <cellStyle name="Nag?ówek 2" xfId="842" xr:uid="{00000000-0005-0000-0000-00004E030000}"/>
    <cellStyle name="Nag?ówek 3" xfId="843" xr:uid="{00000000-0005-0000-0000-00004F030000}"/>
    <cellStyle name="Nag?ówek 4" xfId="844" xr:uid="{00000000-0005-0000-0000-000050030000}"/>
    <cellStyle name="Nagłówek 1" xfId="845" xr:uid="{00000000-0005-0000-0000-000051030000}"/>
    <cellStyle name="Nagłówek 2" xfId="846" xr:uid="{00000000-0005-0000-0000-000052030000}"/>
    <cellStyle name="Nagłówek 3" xfId="847" xr:uid="{00000000-0005-0000-0000-000053030000}"/>
    <cellStyle name="Nagłówek 4" xfId="848" xr:uid="{00000000-0005-0000-0000-000054030000}"/>
    <cellStyle name="Neutral" xfId="849" builtinId="28" customBuiltin="1"/>
    <cellStyle name="Neutral 2" xfId="850" xr:uid="{00000000-0005-0000-0000-000056030000}"/>
    <cellStyle name="Neutral 2 2" xfId="851" xr:uid="{00000000-0005-0000-0000-000057030000}"/>
    <cellStyle name="Neutral 2 3" xfId="852" xr:uid="{00000000-0005-0000-0000-000058030000}"/>
    <cellStyle name="Neutral 2 4" xfId="853" xr:uid="{00000000-0005-0000-0000-000059030000}"/>
    <cellStyle name="Neutral 2 5" xfId="854" xr:uid="{00000000-0005-0000-0000-00005A030000}"/>
    <cellStyle name="Neutral 2 6" xfId="855" xr:uid="{00000000-0005-0000-0000-00005B030000}"/>
    <cellStyle name="Neutral 3" xfId="856" xr:uid="{00000000-0005-0000-0000-00005C030000}"/>
    <cellStyle name="Neutral 3 2" xfId="857" xr:uid="{00000000-0005-0000-0000-00005D030000}"/>
    <cellStyle name="Neutral 3 3" xfId="858" xr:uid="{00000000-0005-0000-0000-00005E030000}"/>
    <cellStyle name="Neutral 3 4" xfId="859" xr:uid="{00000000-0005-0000-0000-00005F030000}"/>
    <cellStyle name="Neutral 3 5" xfId="860" xr:uid="{00000000-0005-0000-0000-000060030000}"/>
    <cellStyle name="Neutral 4" xfId="861" xr:uid="{00000000-0005-0000-0000-000061030000}"/>
    <cellStyle name="Neutral 4 2" xfId="862" xr:uid="{00000000-0005-0000-0000-000062030000}"/>
    <cellStyle name="Neutral 4 3" xfId="863" xr:uid="{00000000-0005-0000-0000-000063030000}"/>
    <cellStyle name="Neutral 4 4" xfId="864" xr:uid="{00000000-0005-0000-0000-000064030000}"/>
    <cellStyle name="Neutral 4 5" xfId="865" xr:uid="{00000000-0005-0000-0000-000065030000}"/>
    <cellStyle name="Neutral 5" xfId="866" xr:uid="{00000000-0005-0000-0000-000066030000}"/>
    <cellStyle name="Neutral 5 2" xfId="867" xr:uid="{00000000-0005-0000-0000-000067030000}"/>
    <cellStyle name="Neutral 5 3" xfId="868" xr:uid="{00000000-0005-0000-0000-000068030000}"/>
    <cellStyle name="Neutral 5 4" xfId="869" xr:uid="{00000000-0005-0000-0000-000069030000}"/>
    <cellStyle name="Neutral 5 5" xfId="870" xr:uid="{00000000-0005-0000-0000-00006A030000}"/>
    <cellStyle name="Neutral 6" xfId="871" xr:uid="{00000000-0005-0000-0000-00006B030000}"/>
    <cellStyle name="Neutral 6 2" xfId="872" xr:uid="{00000000-0005-0000-0000-00006C030000}"/>
    <cellStyle name="Neutral 7" xfId="873" xr:uid="{00000000-0005-0000-0000-00006D030000}"/>
    <cellStyle name="Neutral 8" xfId="874" xr:uid="{00000000-0005-0000-0000-00006E030000}"/>
    <cellStyle name="Neutral 9" xfId="875" xr:uid="{00000000-0005-0000-0000-00006F030000}"/>
    <cellStyle name="Neutralne" xfId="876" xr:uid="{00000000-0005-0000-0000-000070030000}"/>
    <cellStyle name="Normal" xfId="0" builtinId="0"/>
    <cellStyle name="Normal 10" xfId="877" xr:uid="{00000000-0005-0000-0000-000072030000}"/>
    <cellStyle name="Normal 10 2" xfId="878" xr:uid="{00000000-0005-0000-0000-000073030000}"/>
    <cellStyle name="Normal 11" xfId="879" xr:uid="{00000000-0005-0000-0000-000074030000}"/>
    <cellStyle name="Normal 11 2" xfId="880" xr:uid="{00000000-0005-0000-0000-000075030000}"/>
    <cellStyle name="Normal 12" xfId="881" xr:uid="{00000000-0005-0000-0000-000076030000}"/>
    <cellStyle name="Normal 12 2" xfId="882" xr:uid="{00000000-0005-0000-0000-000077030000}"/>
    <cellStyle name="Normal 13" xfId="883" xr:uid="{00000000-0005-0000-0000-000078030000}"/>
    <cellStyle name="Normal 13 2" xfId="884" xr:uid="{00000000-0005-0000-0000-000079030000}"/>
    <cellStyle name="Normal 14" xfId="885" xr:uid="{00000000-0005-0000-0000-00007A030000}"/>
    <cellStyle name="Normal 15" xfId="886" xr:uid="{00000000-0005-0000-0000-00007B030000}"/>
    <cellStyle name="Normal 15 2" xfId="887" xr:uid="{00000000-0005-0000-0000-00007C030000}"/>
    <cellStyle name="Normal 16" xfId="1698" xr:uid="{00000000-0005-0000-0000-00007D030000}"/>
    <cellStyle name="Normal 17" xfId="888" xr:uid="{00000000-0005-0000-0000-00007E030000}"/>
    <cellStyle name="Normal 18" xfId="1697" xr:uid="{00000000-0005-0000-0000-00007F030000}"/>
    <cellStyle name="Normal 2" xfId="889" xr:uid="{00000000-0005-0000-0000-000080030000}"/>
    <cellStyle name="Normal 2 10" xfId="890" xr:uid="{00000000-0005-0000-0000-000081030000}"/>
    <cellStyle name="Normal 2 11" xfId="891" xr:uid="{00000000-0005-0000-0000-000082030000}"/>
    <cellStyle name="Normal 2 12" xfId="892" xr:uid="{00000000-0005-0000-0000-000083030000}"/>
    <cellStyle name="Normal 2 13" xfId="1701" xr:uid="{00000000-0005-0000-0000-000084030000}"/>
    <cellStyle name="Normal 2 2" xfId="893" xr:uid="{00000000-0005-0000-0000-000085030000}"/>
    <cellStyle name="Normal 2 2 2" xfId="894" xr:uid="{00000000-0005-0000-0000-000086030000}"/>
    <cellStyle name="Normal 2 3" xfId="895" xr:uid="{00000000-0005-0000-0000-000087030000}"/>
    <cellStyle name="Normal 2 4" xfId="896" xr:uid="{00000000-0005-0000-0000-000088030000}"/>
    <cellStyle name="Normal 2 5" xfId="897" xr:uid="{00000000-0005-0000-0000-000089030000}"/>
    <cellStyle name="Normal 2 6" xfId="898" xr:uid="{00000000-0005-0000-0000-00008A030000}"/>
    <cellStyle name="Normal 2 7" xfId="899" xr:uid="{00000000-0005-0000-0000-00008B030000}"/>
    <cellStyle name="Normal 2 8" xfId="900" xr:uid="{00000000-0005-0000-0000-00008C030000}"/>
    <cellStyle name="Normal 2 9" xfId="901" xr:uid="{00000000-0005-0000-0000-00008D030000}"/>
    <cellStyle name="Normal 2_Combinación de negocios - AA-IAMv3" xfId="902" xr:uid="{00000000-0005-0000-0000-00008E030000}"/>
    <cellStyle name="Normal 3" xfId="903" xr:uid="{00000000-0005-0000-0000-00008F030000}"/>
    <cellStyle name="Normal 3 2" xfId="904" xr:uid="{00000000-0005-0000-0000-000090030000}"/>
    <cellStyle name="Normal 4" xfId="905" xr:uid="{00000000-0005-0000-0000-000091030000}"/>
    <cellStyle name="Normal 5" xfId="906" xr:uid="{00000000-0005-0000-0000-000092030000}"/>
    <cellStyle name="Normal 6" xfId="907" xr:uid="{00000000-0005-0000-0000-000093030000}"/>
    <cellStyle name="Normal 6 2" xfId="908" xr:uid="{00000000-0005-0000-0000-000094030000}"/>
    <cellStyle name="Normal 7" xfId="909" xr:uid="{00000000-0005-0000-0000-000095030000}"/>
    <cellStyle name="Normal 8" xfId="910" xr:uid="{00000000-0005-0000-0000-000096030000}"/>
    <cellStyle name="Normal 9" xfId="911" xr:uid="{00000000-0005-0000-0000-000097030000}"/>
    <cellStyle name="Notas" xfId="912" builtinId="10" customBuiltin="1"/>
    <cellStyle name="Notas 10" xfId="913" xr:uid="{00000000-0005-0000-0000-000099030000}"/>
    <cellStyle name="Notas 2" xfId="914" xr:uid="{00000000-0005-0000-0000-00009A030000}"/>
    <cellStyle name="Notas 2 2" xfId="915" xr:uid="{00000000-0005-0000-0000-00009B030000}"/>
    <cellStyle name="Notas 2 3" xfId="916" xr:uid="{00000000-0005-0000-0000-00009C030000}"/>
    <cellStyle name="Notas 2 4" xfId="917" xr:uid="{00000000-0005-0000-0000-00009D030000}"/>
    <cellStyle name="Notas 2 5" xfId="918" xr:uid="{00000000-0005-0000-0000-00009E030000}"/>
    <cellStyle name="Notas 2 6" xfId="919" xr:uid="{00000000-0005-0000-0000-00009F030000}"/>
    <cellStyle name="Notas 3" xfId="920" xr:uid="{00000000-0005-0000-0000-0000A0030000}"/>
    <cellStyle name="Notas 3 2" xfId="921" xr:uid="{00000000-0005-0000-0000-0000A1030000}"/>
    <cellStyle name="Notas 3 3" xfId="922" xr:uid="{00000000-0005-0000-0000-0000A2030000}"/>
    <cellStyle name="Notas 3 4" xfId="923" xr:uid="{00000000-0005-0000-0000-0000A3030000}"/>
    <cellStyle name="Notas 3 5" xfId="924" xr:uid="{00000000-0005-0000-0000-0000A4030000}"/>
    <cellStyle name="Notas 4" xfId="925" xr:uid="{00000000-0005-0000-0000-0000A5030000}"/>
    <cellStyle name="Notas 4 2" xfId="926" xr:uid="{00000000-0005-0000-0000-0000A6030000}"/>
    <cellStyle name="Notas 4 3" xfId="927" xr:uid="{00000000-0005-0000-0000-0000A7030000}"/>
    <cellStyle name="Notas 4 4" xfId="928" xr:uid="{00000000-0005-0000-0000-0000A8030000}"/>
    <cellStyle name="Notas 4 5" xfId="929" xr:uid="{00000000-0005-0000-0000-0000A9030000}"/>
    <cellStyle name="Notas 5" xfId="930" xr:uid="{00000000-0005-0000-0000-0000AA030000}"/>
    <cellStyle name="Notas 5 2" xfId="931" xr:uid="{00000000-0005-0000-0000-0000AB030000}"/>
    <cellStyle name="Notas 5 3" xfId="932" xr:uid="{00000000-0005-0000-0000-0000AC030000}"/>
    <cellStyle name="Notas 5 4" xfId="933" xr:uid="{00000000-0005-0000-0000-0000AD030000}"/>
    <cellStyle name="Notas 5 5" xfId="934" xr:uid="{00000000-0005-0000-0000-0000AE030000}"/>
    <cellStyle name="Notas 6" xfId="935" xr:uid="{00000000-0005-0000-0000-0000AF030000}"/>
    <cellStyle name="Notas 6 2" xfId="936" xr:uid="{00000000-0005-0000-0000-0000B0030000}"/>
    <cellStyle name="Notas 7" xfId="937" xr:uid="{00000000-0005-0000-0000-0000B1030000}"/>
    <cellStyle name="Notas 8" xfId="938" xr:uid="{00000000-0005-0000-0000-0000B2030000}"/>
    <cellStyle name="Notas 9" xfId="939" xr:uid="{00000000-0005-0000-0000-0000B3030000}"/>
    <cellStyle name="Note" xfId="940" xr:uid="{00000000-0005-0000-0000-0000B4030000}"/>
    <cellStyle name="Note 2" xfId="941" xr:uid="{00000000-0005-0000-0000-0000B5030000}"/>
    <cellStyle name="Note 3" xfId="942" xr:uid="{00000000-0005-0000-0000-0000B6030000}"/>
    <cellStyle name="Note 4" xfId="943" xr:uid="{00000000-0005-0000-0000-0000B7030000}"/>
    <cellStyle name="Note 5" xfId="944" xr:uid="{00000000-0005-0000-0000-0000B8030000}"/>
    <cellStyle name="Note 6" xfId="945" xr:uid="{00000000-0005-0000-0000-0000B9030000}"/>
    <cellStyle name="Note 7" xfId="946" xr:uid="{00000000-0005-0000-0000-0000BA030000}"/>
    <cellStyle name="Note 8" xfId="947" xr:uid="{00000000-0005-0000-0000-0000BB030000}"/>
    <cellStyle name="Obliczenia" xfId="948" xr:uid="{00000000-0005-0000-0000-0000BC030000}"/>
    <cellStyle name="Output" xfId="949" xr:uid="{00000000-0005-0000-0000-0000BD030000}"/>
    <cellStyle name="Porcentaje" xfId="950" builtinId="5"/>
    <cellStyle name="Porcentaje 2" xfId="1699" xr:uid="{00000000-0005-0000-0000-0000BF030000}"/>
    <cellStyle name="Porcentual 10" xfId="951" xr:uid="{00000000-0005-0000-0000-0000C0030000}"/>
    <cellStyle name="Porcentual 10 2" xfId="952" xr:uid="{00000000-0005-0000-0000-0000C1030000}"/>
    <cellStyle name="Porcentual 11" xfId="953" xr:uid="{00000000-0005-0000-0000-0000C2030000}"/>
    <cellStyle name="Porcentual 11 2" xfId="954" xr:uid="{00000000-0005-0000-0000-0000C3030000}"/>
    <cellStyle name="Porcentual 2" xfId="955" xr:uid="{00000000-0005-0000-0000-0000C4030000}"/>
    <cellStyle name="Porcentual 2 2" xfId="956" xr:uid="{00000000-0005-0000-0000-0000C5030000}"/>
    <cellStyle name="Porcentual 3" xfId="957" xr:uid="{00000000-0005-0000-0000-0000C6030000}"/>
    <cellStyle name="Porcentual 4" xfId="958" xr:uid="{00000000-0005-0000-0000-0000C7030000}"/>
    <cellStyle name="Porcentual 4 2" xfId="959" xr:uid="{00000000-0005-0000-0000-0000C8030000}"/>
    <cellStyle name="Porcentual 5" xfId="960" xr:uid="{00000000-0005-0000-0000-0000C9030000}"/>
    <cellStyle name="Porcentual 5 2" xfId="961" xr:uid="{00000000-0005-0000-0000-0000CA030000}"/>
    <cellStyle name="Porcentual 6" xfId="962" xr:uid="{00000000-0005-0000-0000-0000CB030000}"/>
    <cellStyle name="Porcentual 7" xfId="963" xr:uid="{00000000-0005-0000-0000-0000CC030000}"/>
    <cellStyle name="Porcentual 7 2" xfId="964" xr:uid="{00000000-0005-0000-0000-0000CD030000}"/>
    <cellStyle name="Porcentual 8" xfId="965" xr:uid="{00000000-0005-0000-0000-0000CE030000}"/>
    <cellStyle name="Porcentual 8 2" xfId="966" xr:uid="{00000000-0005-0000-0000-0000CF030000}"/>
    <cellStyle name="Porcentual 9" xfId="967" xr:uid="{00000000-0005-0000-0000-0000D0030000}"/>
    <cellStyle name="Salida" xfId="968" builtinId="21" customBuiltin="1"/>
    <cellStyle name="Salida 2" xfId="969" xr:uid="{00000000-0005-0000-0000-0000D2030000}"/>
    <cellStyle name="Salida 2 2" xfId="970" xr:uid="{00000000-0005-0000-0000-0000D3030000}"/>
    <cellStyle name="Salida 2 3" xfId="971" xr:uid="{00000000-0005-0000-0000-0000D4030000}"/>
    <cellStyle name="Salida 2 4" xfId="972" xr:uid="{00000000-0005-0000-0000-0000D5030000}"/>
    <cellStyle name="Salida 2 5" xfId="973" xr:uid="{00000000-0005-0000-0000-0000D6030000}"/>
    <cellStyle name="Salida 2 6" xfId="974" xr:uid="{00000000-0005-0000-0000-0000D7030000}"/>
    <cellStyle name="Salida 3" xfId="975" xr:uid="{00000000-0005-0000-0000-0000D8030000}"/>
    <cellStyle name="Salida 3 2" xfId="976" xr:uid="{00000000-0005-0000-0000-0000D9030000}"/>
    <cellStyle name="Salida 3 3" xfId="977" xr:uid="{00000000-0005-0000-0000-0000DA030000}"/>
    <cellStyle name="Salida 3 4" xfId="978" xr:uid="{00000000-0005-0000-0000-0000DB030000}"/>
    <cellStyle name="Salida 3 5" xfId="979" xr:uid="{00000000-0005-0000-0000-0000DC030000}"/>
    <cellStyle name="Salida 4" xfId="980" xr:uid="{00000000-0005-0000-0000-0000DD030000}"/>
    <cellStyle name="Salida 4 2" xfId="981" xr:uid="{00000000-0005-0000-0000-0000DE030000}"/>
    <cellStyle name="Salida 4 3" xfId="982" xr:uid="{00000000-0005-0000-0000-0000DF030000}"/>
    <cellStyle name="Salida 4 4" xfId="983" xr:uid="{00000000-0005-0000-0000-0000E0030000}"/>
    <cellStyle name="Salida 4 5" xfId="984" xr:uid="{00000000-0005-0000-0000-0000E1030000}"/>
    <cellStyle name="Salida 5" xfId="985" xr:uid="{00000000-0005-0000-0000-0000E2030000}"/>
    <cellStyle name="Salida 5 2" xfId="986" xr:uid="{00000000-0005-0000-0000-0000E3030000}"/>
    <cellStyle name="Salida 5 3" xfId="987" xr:uid="{00000000-0005-0000-0000-0000E4030000}"/>
    <cellStyle name="Salida 5 4" xfId="988" xr:uid="{00000000-0005-0000-0000-0000E5030000}"/>
    <cellStyle name="Salida 5 5" xfId="989" xr:uid="{00000000-0005-0000-0000-0000E6030000}"/>
    <cellStyle name="Salida 6" xfId="990" xr:uid="{00000000-0005-0000-0000-0000E7030000}"/>
    <cellStyle name="Salida 6 2" xfId="991" xr:uid="{00000000-0005-0000-0000-0000E8030000}"/>
    <cellStyle name="Salida 7" xfId="992" xr:uid="{00000000-0005-0000-0000-0000E9030000}"/>
    <cellStyle name="Salida 8" xfId="993" xr:uid="{00000000-0005-0000-0000-0000EA030000}"/>
    <cellStyle name="Salida 9" xfId="994" xr:uid="{00000000-0005-0000-0000-0000EB030000}"/>
    <cellStyle name="SAPBEXaggData" xfId="995" xr:uid="{00000000-0005-0000-0000-0000EC030000}"/>
    <cellStyle name="SAPBEXaggData 10" xfId="996" xr:uid="{00000000-0005-0000-0000-0000ED030000}"/>
    <cellStyle name="SAPBEXaggData 11" xfId="997" xr:uid="{00000000-0005-0000-0000-0000EE030000}"/>
    <cellStyle name="SAPBEXaggData 2" xfId="998" xr:uid="{00000000-0005-0000-0000-0000EF030000}"/>
    <cellStyle name="SAPBEXaggData 2 2" xfId="999" xr:uid="{00000000-0005-0000-0000-0000F0030000}"/>
    <cellStyle name="SAPBEXaggData 2 2 2" xfId="1000" xr:uid="{00000000-0005-0000-0000-0000F1030000}"/>
    <cellStyle name="SAPBEXaggData 3" xfId="1001" xr:uid="{00000000-0005-0000-0000-0000F2030000}"/>
    <cellStyle name="SAPBEXaggData 4" xfId="1002" xr:uid="{00000000-0005-0000-0000-0000F3030000}"/>
    <cellStyle name="SAPBEXaggData 5" xfId="1003" xr:uid="{00000000-0005-0000-0000-0000F4030000}"/>
    <cellStyle name="SAPBEXaggData 6" xfId="1004" xr:uid="{00000000-0005-0000-0000-0000F5030000}"/>
    <cellStyle name="SAPBEXaggData 7" xfId="1005" xr:uid="{00000000-0005-0000-0000-0000F6030000}"/>
    <cellStyle name="SAPBEXaggData 8" xfId="1006" xr:uid="{00000000-0005-0000-0000-0000F7030000}"/>
    <cellStyle name="SAPBEXaggData 9" xfId="1007" xr:uid="{00000000-0005-0000-0000-0000F8030000}"/>
    <cellStyle name="SAPBEXaggData_gxaccion, 68" xfId="1008" xr:uid="{00000000-0005-0000-0000-0000F9030000}"/>
    <cellStyle name="SAPBEXaggDataEmph" xfId="1009" xr:uid="{00000000-0005-0000-0000-0000FA030000}"/>
    <cellStyle name="SAPBEXaggDataEmph 10" xfId="1010" xr:uid="{00000000-0005-0000-0000-0000FB030000}"/>
    <cellStyle name="SAPBEXaggDataEmph 11" xfId="1011" xr:uid="{00000000-0005-0000-0000-0000FC030000}"/>
    <cellStyle name="SAPBEXaggDataEmph 2" xfId="1012" xr:uid="{00000000-0005-0000-0000-0000FD030000}"/>
    <cellStyle name="SAPBEXaggDataEmph 2 2" xfId="1013" xr:uid="{00000000-0005-0000-0000-0000FE030000}"/>
    <cellStyle name="SAPBEXaggDataEmph 2 2 2" xfId="1014" xr:uid="{00000000-0005-0000-0000-0000FF030000}"/>
    <cellStyle name="SAPBEXaggDataEmph 3" xfId="1015" xr:uid="{00000000-0005-0000-0000-000000040000}"/>
    <cellStyle name="SAPBEXaggDataEmph 4" xfId="1016" xr:uid="{00000000-0005-0000-0000-000001040000}"/>
    <cellStyle name="SAPBEXaggDataEmph 5" xfId="1017" xr:uid="{00000000-0005-0000-0000-000002040000}"/>
    <cellStyle name="SAPBEXaggDataEmph 6" xfId="1018" xr:uid="{00000000-0005-0000-0000-000003040000}"/>
    <cellStyle name="SAPBEXaggDataEmph 7" xfId="1019" xr:uid="{00000000-0005-0000-0000-000004040000}"/>
    <cellStyle name="SAPBEXaggDataEmph 8" xfId="1020" xr:uid="{00000000-0005-0000-0000-000005040000}"/>
    <cellStyle name="SAPBEXaggDataEmph 9" xfId="1021" xr:uid="{00000000-0005-0000-0000-000006040000}"/>
    <cellStyle name="SAPBEXaggDataEmph_valor justo.junio2010" xfId="1022" xr:uid="{00000000-0005-0000-0000-000007040000}"/>
    <cellStyle name="SAPBEXaggItem" xfId="1023" xr:uid="{00000000-0005-0000-0000-000008040000}"/>
    <cellStyle name="SAPBEXaggItem 10" xfId="1024" xr:uid="{00000000-0005-0000-0000-000009040000}"/>
    <cellStyle name="SAPBEXaggItem 11" xfId="1025" xr:uid="{00000000-0005-0000-0000-00000A040000}"/>
    <cellStyle name="SAPBEXaggItem 2" xfId="1026" xr:uid="{00000000-0005-0000-0000-00000B040000}"/>
    <cellStyle name="SAPBEXaggItem 2 2" xfId="1027" xr:uid="{00000000-0005-0000-0000-00000C040000}"/>
    <cellStyle name="SAPBEXaggItem 2 2 2" xfId="1028" xr:uid="{00000000-0005-0000-0000-00000D040000}"/>
    <cellStyle name="SAPBEXaggItem 3" xfId="1029" xr:uid="{00000000-0005-0000-0000-00000E040000}"/>
    <cellStyle name="SAPBEXaggItem 4" xfId="1030" xr:uid="{00000000-0005-0000-0000-00000F040000}"/>
    <cellStyle name="SAPBEXaggItem 5" xfId="1031" xr:uid="{00000000-0005-0000-0000-000010040000}"/>
    <cellStyle name="SAPBEXaggItem 6" xfId="1032" xr:uid="{00000000-0005-0000-0000-000011040000}"/>
    <cellStyle name="SAPBEXaggItem 7" xfId="1033" xr:uid="{00000000-0005-0000-0000-000012040000}"/>
    <cellStyle name="SAPBEXaggItem 8" xfId="1034" xr:uid="{00000000-0005-0000-0000-000013040000}"/>
    <cellStyle name="SAPBEXaggItem 9" xfId="1035" xr:uid="{00000000-0005-0000-0000-000014040000}"/>
    <cellStyle name="SAPBEXaggItem_gxaccion, 68" xfId="1036" xr:uid="{00000000-0005-0000-0000-000015040000}"/>
    <cellStyle name="SAPBEXaggItemX" xfId="1037" xr:uid="{00000000-0005-0000-0000-000016040000}"/>
    <cellStyle name="SAPBEXaggItemX 10" xfId="1038" xr:uid="{00000000-0005-0000-0000-000017040000}"/>
    <cellStyle name="SAPBEXaggItemX 11" xfId="1039" xr:uid="{00000000-0005-0000-0000-000018040000}"/>
    <cellStyle name="SAPBEXaggItemX 2" xfId="1040" xr:uid="{00000000-0005-0000-0000-000019040000}"/>
    <cellStyle name="SAPBEXaggItemX 2 2" xfId="1041" xr:uid="{00000000-0005-0000-0000-00001A040000}"/>
    <cellStyle name="SAPBEXaggItemX 2 2 2" xfId="1042" xr:uid="{00000000-0005-0000-0000-00001B040000}"/>
    <cellStyle name="SAPBEXaggItemX 3" xfId="1043" xr:uid="{00000000-0005-0000-0000-00001C040000}"/>
    <cellStyle name="SAPBEXaggItemX 4" xfId="1044" xr:uid="{00000000-0005-0000-0000-00001D040000}"/>
    <cellStyle name="SAPBEXaggItemX 5" xfId="1045" xr:uid="{00000000-0005-0000-0000-00001E040000}"/>
    <cellStyle name="SAPBEXaggItemX 6" xfId="1046" xr:uid="{00000000-0005-0000-0000-00001F040000}"/>
    <cellStyle name="SAPBEXaggItemX 7" xfId="1047" xr:uid="{00000000-0005-0000-0000-000020040000}"/>
    <cellStyle name="SAPBEXaggItemX 8" xfId="1048" xr:uid="{00000000-0005-0000-0000-000021040000}"/>
    <cellStyle name="SAPBEXaggItemX 9" xfId="1049" xr:uid="{00000000-0005-0000-0000-000022040000}"/>
    <cellStyle name="SAPBEXaggItemX_valor justo.junio2010" xfId="1050" xr:uid="{00000000-0005-0000-0000-000023040000}"/>
    <cellStyle name="SAPBEXchaText" xfId="1051" xr:uid="{00000000-0005-0000-0000-000024040000}"/>
    <cellStyle name="SAPBEXchaText 10" xfId="1052" xr:uid="{00000000-0005-0000-0000-000025040000}"/>
    <cellStyle name="SAPBEXchaText 11" xfId="1053" xr:uid="{00000000-0005-0000-0000-000026040000}"/>
    <cellStyle name="SAPBEXchaText 2" xfId="1054" xr:uid="{00000000-0005-0000-0000-000027040000}"/>
    <cellStyle name="SAPBEXchaText 2 2" xfId="1055" xr:uid="{00000000-0005-0000-0000-000028040000}"/>
    <cellStyle name="SAPBEXchaText 2 2 2" xfId="1056" xr:uid="{00000000-0005-0000-0000-000029040000}"/>
    <cellStyle name="SAPBEXchaText 3" xfId="1057" xr:uid="{00000000-0005-0000-0000-00002A040000}"/>
    <cellStyle name="SAPBEXchaText 4" xfId="1058" xr:uid="{00000000-0005-0000-0000-00002B040000}"/>
    <cellStyle name="SAPBEXchaText 5" xfId="1059" xr:uid="{00000000-0005-0000-0000-00002C040000}"/>
    <cellStyle name="SAPBEXchaText 6" xfId="1060" xr:uid="{00000000-0005-0000-0000-00002D040000}"/>
    <cellStyle name="SAPBEXchaText 7" xfId="1061" xr:uid="{00000000-0005-0000-0000-00002E040000}"/>
    <cellStyle name="SAPBEXchaText 8" xfId="1062" xr:uid="{00000000-0005-0000-0000-00002F040000}"/>
    <cellStyle name="SAPBEXchaText 9" xfId="1063" xr:uid="{00000000-0005-0000-0000-000030040000}"/>
    <cellStyle name="SAPBEXchaText_gxaccion, 68" xfId="1064" xr:uid="{00000000-0005-0000-0000-000031040000}"/>
    <cellStyle name="SAPBEXexcBad7" xfId="1065" xr:uid="{00000000-0005-0000-0000-000032040000}"/>
    <cellStyle name="SAPBEXexcBad7 10" xfId="1066" xr:uid="{00000000-0005-0000-0000-000033040000}"/>
    <cellStyle name="SAPBEXexcBad7 11" xfId="1067" xr:uid="{00000000-0005-0000-0000-000034040000}"/>
    <cellStyle name="SAPBEXexcBad7 2" xfId="1068" xr:uid="{00000000-0005-0000-0000-000035040000}"/>
    <cellStyle name="SAPBEXexcBad7 2 2" xfId="1069" xr:uid="{00000000-0005-0000-0000-000036040000}"/>
    <cellStyle name="SAPBEXexcBad7 2 2 2" xfId="1070" xr:uid="{00000000-0005-0000-0000-000037040000}"/>
    <cellStyle name="SAPBEXexcBad7 3" xfId="1071" xr:uid="{00000000-0005-0000-0000-000038040000}"/>
    <cellStyle name="SAPBEXexcBad7 4" xfId="1072" xr:uid="{00000000-0005-0000-0000-000039040000}"/>
    <cellStyle name="SAPBEXexcBad7 5" xfId="1073" xr:uid="{00000000-0005-0000-0000-00003A040000}"/>
    <cellStyle name="SAPBEXexcBad7 6" xfId="1074" xr:uid="{00000000-0005-0000-0000-00003B040000}"/>
    <cellStyle name="SAPBEXexcBad7 7" xfId="1075" xr:uid="{00000000-0005-0000-0000-00003C040000}"/>
    <cellStyle name="SAPBEXexcBad7 8" xfId="1076" xr:uid="{00000000-0005-0000-0000-00003D040000}"/>
    <cellStyle name="SAPBEXexcBad7 9" xfId="1077" xr:uid="{00000000-0005-0000-0000-00003E040000}"/>
    <cellStyle name="SAPBEXexcBad7_gxaccion, 68" xfId="1078" xr:uid="{00000000-0005-0000-0000-00003F040000}"/>
    <cellStyle name="SAPBEXexcBad8" xfId="1079" xr:uid="{00000000-0005-0000-0000-000040040000}"/>
    <cellStyle name="SAPBEXexcBad8 10" xfId="1080" xr:uid="{00000000-0005-0000-0000-000041040000}"/>
    <cellStyle name="SAPBEXexcBad8 11" xfId="1081" xr:uid="{00000000-0005-0000-0000-000042040000}"/>
    <cellStyle name="SAPBEXexcBad8 2" xfId="1082" xr:uid="{00000000-0005-0000-0000-000043040000}"/>
    <cellStyle name="SAPBEXexcBad8 2 2" xfId="1083" xr:uid="{00000000-0005-0000-0000-000044040000}"/>
    <cellStyle name="SAPBEXexcBad8 2 2 2" xfId="1084" xr:uid="{00000000-0005-0000-0000-000045040000}"/>
    <cellStyle name="SAPBEXexcBad8 3" xfId="1085" xr:uid="{00000000-0005-0000-0000-000046040000}"/>
    <cellStyle name="SAPBEXexcBad8 4" xfId="1086" xr:uid="{00000000-0005-0000-0000-000047040000}"/>
    <cellStyle name="SAPBEXexcBad8 5" xfId="1087" xr:uid="{00000000-0005-0000-0000-000048040000}"/>
    <cellStyle name="SAPBEXexcBad8 6" xfId="1088" xr:uid="{00000000-0005-0000-0000-000049040000}"/>
    <cellStyle name="SAPBEXexcBad8 7" xfId="1089" xr:uid="{00000000-0005-0000-0000-00004A040000}"/>
    <cellStyle name="SAPBEXexcBad8 8" xfId="1090" xr:uid="{00000000-0005-0000-0000-00004B040000}"/>
    <cellStyle name="SAPBEXexcBad8 9" xfId="1091" xr:uid="{00000000-0005-0000-0000-00004C040000}"/>
    <cellStyle name="SAPBEXexcBad8_gxaccion, 68" xfId="1092" xr:uid="{00000000-0005-0000-0000-00004D040000}"/>
    <cellStyle name="SAPBEXexcBad9" xfId="1093" xr:uid="{00000000-0005-0000-0000-00004E040000}"/>
    <cellStyle name="SAPBEXexcBad9 10" xfId="1094" xr:uid="{00000000-0005-0000-0000-00004F040000}"/>
    <cellStyle name="SAPBEXexcBad9 11" xfId="1095" xr:uid="{00000000-0005-0000-0000-000050040000}"/>
    <cellStyle name="SAPBEXexcBad9 2" xfId="1096" xr:uid="{00000000-0005-0000-0000-000051040000}"/>
    <cellStyle name="SAPBEXexcBad9 2 2" xfId="1097" xr:uid="{00000000-0005-0000-0000-000052040000}"/>
    <cellStyle name="SAPBEXexcBad9 2 2 2" xfId="1098" xr:uid="{00000000-0005-0000-0000-000053040000}"/>
    <cellStyle name="SAPBEXexcBad9 3" xfId="1099" xr:uid="{00000000-0005-0000-0000-000054040000}"/>
    <cellStyle name="SAPBEXexcBad9 4" xfId="1100" xr:uid="{00000000-0005-0000-0000-000055040000}"/>
    <cellStyle name="SAPBEXexcBad9 5" xfId="1101" xr:uid="{00000000-0005-0000-0000-000056040000}"/>
    <cellStyle name="SAPBEXexcBad9 6" xfId="1102" xr:uid="{00000000-0005-0000-0000-000057040000}"/>
    <cellStyle name="SAPBEXexcBad9 7" xfId="1103" xr:uid="{00000000-0005-0000-0000-000058040000}"/>
    <cellStyle name="SAPBEXexcBad9 8" xfId="1104" xr:uid="{00000000-0005-0000-0000-000059040000}"/>
    <cellStyle name="SAPBEXexcBad9 9" xfId="1105" xr:uid="{00000000-0005-0000-0000-00005A040000}"/>
    <cellStyle name="SAPBEXexcBad9_gxaccion, 68" xfId="1106" xr:uid="{00000000-0005-0000-0000-00005B040000}"/>
    <cellStyle name="SAPBEXexcCritical4" xfId="1107" xr:uid="{00000000-0005-0000-0000-00005C040000}"/>
    <cellStyle name="SAPBEXexcCritical4 10" xfId="1108" xr:uid="{00000000-0005-0000-0000-00005D040000}"/>
    <cellStyle name="SAPBEXexcCritical4 11" xfId="1109" xr:uid="{00000000-0005-0000-0000-00005E040000}"/>
    <cellStyle name="SAPBEXexcCritical4 2" xfId="1110" xr:uid="{00000000-0005-0000-0000-00005F040000}"/>
    <cellStyle name="SAPBEXexcCritical4 2 2" xfId="1111" xr:uid="{00000000-0005-0000-0000-000060040000}"/>
    <cellStyle name="SAPBEXexcCritical4 2 2 2" xfId="1112" xr:uid="{00000000-0005-0000-0000-000061040000}"/>
    <cellStyle name="SAPBEXexcCritical4 3" xfId="1113" xr:uid="{00000000-0005-0000-0000-000062040000}"/>
    <cellStyle name="SAPBEXexcCritical4 4" xfId="1114" xr:uid="{00000000-0005-0000-0000-000063040000}"/>
    <cellStyle name="SAPBEXexcCritical4 5" xfId="1115" xr:uid="{00000000-0005-0000-0000-000064040000}"/>
    <cellStyle name="SAPBEXexcCritical4 6" xfId="1116" xr:uid="{00000000-0005-0000-0000-000065040000}"/>
    <cellStyle name="SAPBEXexcCritical4 7" xfId="1117" xr:uid="{00000000-0005-0000-0000-000066040000}"/>
    <cellStyle name="SAPBEXexcCritical4 8" xfId="1118" xr:uid="{00000000-0005-0000-0000-000067040000}"/>
    <cellStyle name="SAPBEXexcCritical4 9" xfId="1119" xr:uid="{00000000-0005-0000-0000-000068040000}"/>
    <cellStyle name="SAPBEXexcCritical4_gxaccion, 68" xfId="1120" xr:uid="{00000000-0005-0000-0000-000069040000}"/>
    <cellStyle name="SAPBEXexcCritical5" xfId="1121" xr:uid="{00000000-0005-0000-0000-00006A040000}"/>
    <cellStyle name="SAPBEXexcCritical5 10" xfId="1122" xr:uid="{00000000-0005-0000-0000-00006B040000}"/>
    <cellStyle name="SAPBEXexcCritical5 11" xfId="1123" xr:uid="{00000000-0005-0000-0000-00006C040000}"/>
    <cellStyle name="SAPBEXexcCritical5 2" xfId="1124" xr:uid="{00000000-0005-0000-0000-00006D040000}"/>
    <cellStyle name="SAPBEXexcCritical5 2 2" xfId="1125" xr:uid="{00000000-0005-0000-0000-00006E040000}"/>
    <cellStyle name="SAPBEXexcCritical5 2 2 2" xfId="1126" xr:uid="{00000000-0005-0000-0000-00006F040000}"/>
    <cellStyle name="SAPBEXexcCritical5 3" xfId="1127" xr:uid="{00000000-0005-0000-0000-000070040000}"/>
    <cellStyle name="SAPBEXexcCritical5 4" xfId="1128" xr:uid="{00000000-0005-0000-0000-000071040000}"/>
    <cellStyle name="SAPBEXexcCritical5 5" xfId="1129" xr:uid="{00000000-0005-0000-0000-000072040000}"/>
    <cellStyle name="SAPBEXexcCritical5 6" xfId="1130" xr:uid="{00000000-0005-0000-0000-000073040000}"/>
    <cellStyle name="SAPBEXexcCritical5 7" xfId="1131" xr:uid="{00000000-0005-0000-0000-000074040000}"/>
    <cellStyle name="SAPBEXexcCritical5 8" xfId="1132" xr:uid="{00000000-0005-0000-0000-000075040000}"/>
    <cellStyle name="SAPBEXexcCritical5 9" xfId="1133" xr:uid="{00000000-0005-0000-0000-000076040000}"/>
    <cellStyle name="SAPBEXexcCritical5_gxaccion, 68" xfId="1134" xr:uid="{00000000-0005-0000-0000-000077040000}"/>
    <cellStyle name="SAPBEXexcCritical6" xfId="1135" xr:uid="{00000000-0005-0000-0000-000078040000}"/>
    <cellStyle name="SAPBEXexcCritical6 10" xfId="1136" xr:uid="{00000000-0005-0000-0000-000079040000}"/>
    <cellStyle name="SAPBEXexcCritical6 11" xfId="1137" xr:uid="{00000000-0005-0000-0000-00007A040000}"/>
    <cellStyle name="SAPBEXexcCritical6 2" xfId="1138" xr:uid="{00000000-0005-0000-0000-00007B040000}"/>
    <cellStyle name="SAPBEXexcCritical6 2 2" xfId="1139" xr:uid="{00000000-0005-0000-0000-00007C040000}"/>
    <cellStyle name="SAPBEXexcCritical6 2 2 2" xfId="1140" xr:uid="{00000000-0005-0000-0000-00007D040000}"/>
    <cellStyle name="SAPBEXexcCritical6 3" xfId="1141" xr:uid="{00000000-0005-0000-0000-00007E040000}"/>
    <cellStyle name="SAPBEXexcCritical6 4" xfId="1142" xr:uid="{00000000-0005-0000-0000-00007F040000}"/>
    <cellStyle name="SAPBEXexcCritical6 5" xfId="1143" xr:uid="{00000000-0005-0000-0000-000080040000}"/>
    <cellStyle name="SAPBEXexcCritical6 6" xfId="1144" xr:uid="{00000000-0005-0000-0000-000081040000}"/>
    <cellStyle name="SAPBEXexcCritical6 7" xfId="1145" xr:uid="{00000000-0005-0000-0000-000082040000}"/>
    <cellStyle name="SAPBEXexcCritical6 8" xfId="1146" xr:uid="{00000000-0005-0000-0000-000083040000}"/>
    <cellStyle name="SAPBEXexcCritical6 9" xfId="1147" xr:uid="{00000000-0005-0000-0000-000084040000}"/>
    <cellStyle name="SAPBEXexcCritical6_gxaccion, 68" xfId="1148" xr:uid="{00000000-0005-0000-0000-000085040000}"/>
    <cellStyle name="SAPBEXexcGood1" xfId="1149" xr:uid="{00000000-0005-0000-0000-000086040000}"/>
    <cellStyle name="SAPBEXexcGood1 10" xfId="1150" xr:uid="{00000000-0005-0000-0000-000087040000}"/>
    <cellStyle name="SAPBEXexcGood1 11" xfId="1151" xr:uid="{00000000-0005-0000-0000-000088040000}"/>
    <cellStyle name="SAPBEXexcGood1 2" xfId="1152" xr:uid="{00000000-0005-0000-0000-000089040000}"/>
    <cellStyle name="SAPBEXexcGood1 2 2" xfId="1153" xr:uid="{00000000-0005-0000-0000-00008A040000}"/>
    <cellStyle name="SAPBEXexcGood1 2 2 2" xfId="1154" xr:uid="{00000000-0005-0000-0000-00008B040000}"/>
    <cellStyle name="SAPBEXexcGood1 3" xfId="1155" xr:uid="{00000000-0005-0000-0000-00008C040000}"/>
    <cellStyle name="SAPBEXexcGood1 4" xfId="1156" xr:uid="{00000000-0005-0000-0000-00008D040000}"/>
    <cellStyle name="SAPBEXexcGood1 5" xfId="1157" xr:uid="{00000000-0005-0000-0000-00008E040000}"/>
    <cellStyle name="SAPBEXexcGood1 6" xfId="1158" xr:uid="{00000000-0005-0000-0000-00008F040000}"/>
    <cellStyle name="SAPBEXexcGood1 7" xfId="1159" xr:uid="{00000000-0005-0000-0000-000090040000}"/>
    <cellStyle name="SAPBEXexcGood1 8" xfId="1160" xr:uid="{00000000-0005-0000-0000-000091040000}"/>
    <cellStyle name="SAPBEXexcGood1 9" xfId="1161" xr:uid="{00000000-0005-0000-0000-000092040000}"/>
    <cellStyle name="SAPBEXexcGood1_gxaccion, 68" xfId="1162" xr:uid="{00000000-0005-0000-0000-000093040000}"/>
    <cellStyle name="SAPBEXexcGood2" xfId="1163" xr:uid="{00000000-0005-0000-0000-000094040000}"/>
    <cellStyle name="SAPBEXexcGood2 10" xfId="1164" xr:uid="{00000000-0005-0000-0000-000095040000}"/>
    <cellStyle name="SAPBEXexcGood2 11" xfId="1165" xr:uid="{00000000-0005-0000-0000-000096040000}"/>
    <cellStyle name="SAPBEXexcGood2 2" xfId="1166" xr:uid="{00000000-0005-0000-0000-000097040000}"/>
    <cellStyle name="SAPBEXexcGood2 2 2" xfId="1167" xr:uid="{00000000-0005-0000-0000-000098040000}"/>
    <cellStyle name="SAPBEXexcGood2 2 2 2" xfId="1168" xr:uid="{00000000-0005-0000-0000-000099040000}"/>
    <cellStyle name="SAPBEXexcGood2 3" xfId="1169" xr:uid="{00000000-0005-0000-0000-00009A040000}"/>
    <cellStyle name="SAPBEXexcGood2 4" xfId="1170" xr:uid="{00000000-0005-0000-0000-00009B040000}"/>
    <cellStyle name="SAPBEXexcGood2 5" xfId="1171" xr:uid="{00000000-0005-0000-0000-00009C040000}"/>
    <cellStyle name="SAPBEXexcGood2 6" xfId="1172" xr:uid="{00000000-0005-0000-0000-00009D040000}"/>
    <cellStyle name="SAPBEXexcGood2 7" xfId="1173" xr:uid="{00000000-0005-0000-0000-00009E040000}"/>
    <cellStyle name="SAPBEXexcGood2 8" xfId="1174" xr:uid="{00000000-0005-0000-0000-00009F040000}"/>
    <cellStyle name="SAPBEXexcGood2 9" xfId="1175" xr:uid="{00000000-0005-0000-0000-0000A0040000}"/>
    <cellStyle name="SAPBEXexcGood2_gxaccion, 68" xfId="1176" xr:uid="{00000000-0005-0000-0000-0000A1040000}"/>
    <cellStyle name="SAPBEXexcGood3" xfId="1177" xr:uid="{00000000-0005-0000-0000-0000A2040000}"/>
    <cellStyle name="SAPBEXexcGood3 10" xfId="1178" xr:uid="{00000000-0005-0000-0000-0000A3040000}"/>
    <cellStyle name="SAPBEXexcGood3 11" xfId="1179" xr:uid="{00000000-0005-0000-0000-0000A4040000}"/>
    <cellStyle name="SAPBEXexcGood3 2" xfId="1180" xr:uid="{00000000-0005-0000-0000-0000A5040000}"/>
    <cellStyle name="SAPBEXexcGood3 2 2" xfId="1181" xr:uid="{00000000-0005-0000-0000-0000A6040000}"/>
    <cellStyle name="SAPBEXexcGood3 2 2 2" xfId="1182" xr:uid="{00000000-0005-0000-0000-0000A7040000}"/>
    <cellStyle name="SAPBEXexcGood3 3" xfId="1183" xr:uid="{00000000-0005-0000-0000-0000A8040000}"/>
    <cellStyle name="SAPBEXexcGood3 4" xfId="1184" xr:uid="{00000000-0005-0000-0000-0000A9040000}"/>
    <cellStyle name="SAPBEXexcGood3 5" xfId="1185" xr:uid="{00000000-0005-0000-0000-0000AA040000}"/>
    <cellStyle name="SAPBEXexcGood3 6" xfId="1186" xr:uid="{00000000-0005-0000-0000-0000AB040000}"/>
    <cellStyle name="SAPBEXexcGood3 7" xfId="1187" xr:uid="{00000000-0005-0000-0000-0000AC040000}"/>
    <cellStyle name="SAPBEXexcGood3 8" xfId="1188" xr:uid="{00000000-0005-0000-0000-0000AD040000}"/>
    <cellStyle name="SAPBEXexcGood3 9" xfId="1189" xr:uid="{00000000-0005-0000-0000-0000AE040000}"/>
    <cellStyle name="SAPBEXexcGood3_gxaccion, 68" xfId="1190" xr:uid="{00000000-0005-0000-0000-0000AF040000}"/>
    <cellStyle name="SAPBEXfilterDrill" xfId="1191" xr:uid="{00000000-0005-0000-0000-0000B0040000}"/>
    <cellStyle name="SAPBEXfilterDrill 10" xfId="1192" xr:uid="{00000000-0005-0000-0000-0000B1040000}"/>
    <cellStyle name="SAPBEXfilterDrill 11" xfId="1193" xr:uid="{00000000-0005-0000-0000-0000B2040000}"/>
    <cellStyle name="SAPBEXfilterDrill 2" xfId="1194" xr:uid="{00000000-0005-0000-0000-0000B3040000}"/>
    <cellStyle name="SAPBEXfilterDrill 2 2" xfId="1195" xr:uid="{00000000-0005-0000-0000-0000B4040000}"/>
    <cellStyle name="SAPBEXfilterDrill 2 2 2" xfId="1196" xr:uid="{00000000-0005-0000-0000-0000B5040000}"/>
    <cellStyle name="SAPBEXfilterDrill 3" xfId="1197" xr:uid="{00000000-0005-0000-0000-0000B6040000}"/>
    <cellStyle name="SAPBEXfilterDrill 4" xfId="1198" xr:uid="{00000000-0005-0000-0000-0000B7040000}"/>
    <cellStyle name="SAPBEXfilterDrill 5" xfId="1199" xr:uid="{00000000-0005-0000-0000-0000B8040000}"/>
    <cellStyle name="SAPBEXfilterDrill 6" xfId="1200" xr:uid="{00000000-0005-0000-0000-0000B9040000}"/>
    <cellStyle name="SAPBEXfilterDrill 7" xfId="1201" xr:uid="{00000000-0005-0000-0000-0000BA040000}"/>
    <cellStyle name="SAPBEXfilterDrill 8" xfId="1202" xr:uid="{00000000-0005-0000-0000-0000BB040000}"/>
    <cellStyle name="SAPBEXfilterDrill 9" xfId="1203" xr:uid="{00000000-0005-0000-0000-0000BC040000}"/>
    <cellStyle name="SAPBEXfilterDrill_gxaccion, 68" xfId="1204" xr:uid="{00000000-0005-0000-0000-0000BD040000}"/>
    <cellStyle name="SAPBEXfilterItem" xfId="1205" xr:uid="{00000000-0005-0000-0000-0000BE040000}"/>
    <cellStyle name="SAPBEXfilterItem 10" xfId="1206" xr:uid="{00000000-0005-0000-0000-0000BF040000}"/>
    <cellStyle name="SAPBEXfilterItem 11" xfId="1207" xr:uid="{00000000-0005-0000-0000-0000C0040000}"/>
    <cellStyle name="SAPBEXfilterItem 2" xfId="1208" xr:uid="{00000000-0005-0000-0000-0000C1040000}"/>
    <cellStyle name="SAPBEXfilterItem 2 2" xfId="1209" xr:uid="{00000000-0005-0000-0000-0000C2040000}"/>
    <cellStyle name="SAPBEXfilterItem 2 2 2" xfId="1210" xr:uid="{00000000-0005-0000-0000-0000C3040000}"/>
    <cellStyle name="SAPBEXfilterItem 3" xfId="1211" xr:uid="{00000000-0005-0000-0000-0000C4040000}"/>
    <cellStyle name="SAPBEXfilterItem 4" xfId="1212" xr:uid="{00000000-0005-0000-0000-0000C5040000}"/>
    <cellStyle name="SAPBEXfilterItem 5" xfId="1213" xr:uid="{00000000-0005-0000-0000-0000C6040000}"/>
    <cellStyle name="SAPBEXfilterItem 6" xfId="1214" xr:uid="{00000000-0005-0000-0000-0000C7040000}"/>
    <cellStyle name="SAPBEXfilterItem 7" xfId="1215" xr:uid="{00000000-0005-0000-0000-0000C8040000}"/>
    <cellStyle name="SAPBEXfilterItem 8" xfId="1216" xr:uid="{00000000-0005-0000-0000-0000C9040000}"/>
    <cellStyle name="SAPBEXfilterItem 9" xfId="1217" xr:uid="{00000000-0005-0000-0000-0000CA040000}"/>
    <cellStyle name="SAPBEXfilterText" xfId="1218" xr:uid="{00000000-0005-0000-0000-0000CB040000}"/>
    <cellStyle name="SAPBEXfilterText 10" xfId="1219" xr:uid="{00000000-0005-0000-0000-0000CC040000}"/>
    <cellStyle name="SAPBEXfilterText 11" xfId="1220" xr:uid="{00000000-0005-0000-0000-0000CD040000}"/>
    <cellStyle name="SAPBEXfilterText 2" xfId="1221" xr:uid="{00000000-0005-0000-0000-0000CE040000}"/>
    <cellStyle name="SAPBEXfilterText 2 2" xfId="1222" xr:uid="{00000000-0005-0000-0000-0000CF040000}"/>
    <cellStyle name="SAPBEXfilterText 2 2 2" xfId="1223" xr:uid="{00000000-0005-0000-0000-0000D0040000}"/>
    <cellStyle name="SAPBEXfilterText 3" xfId="1224" xr:uid="{00000000-0005-0000-0000-0000D1040000}"/>
    <cellStyle name="SAPBEXfilterText 4" xfId="1225" xr:uid="{00000000-0005-0000-0000-0000D2040000}"/>
    <cellStyle name="SAPBEXfilterText 5" xfId="1226" xr:uid="{00000000-0005-0000-0000-0000D3040000}"/>
    <cellStyle name="SAPBEXfilterText 6" xfId="1227" xr:uid="{00000000-0005-0000-0000-0000D4040000}"/>
    <cellStyle name="SAPBEXfilterText 7" xfId="1228" xr:uid="{00000000-0005-0000-0000-0000D5040000}"/>
    <cellStyle name="SAPBEXfilterText 8" xfId="1229" xr:uid="{00000000-0005-0000-0000-0000D6040000}"/>
    <cellStyle name="SAPBEXfilterText 9" xfId="1230" xr:uid="{00000000-0005-0000-0000-0000D7040000}"/>
    <cellStyle name="SAPBEXformats" xfId="1231" xr:uid="{00000000-0005-0000-0000-0000D8040000}"/>
    <cellStyle name="SAPBEXformats 10" xfId="1232" xr:uid="{00000000-0005-0000-0000-0000D9040000}"/>
    <cellStyle name="SAPBEXformats 11" xfId="1233" xr:uid="{00000000-0005-0000-0000-0000DA040000}"/>
    <cellStyle name="SAPBEXformats 2" xfId="1234" xr:uid="{00000000-0005-0000-0000-0000DB040000}"/>
    <cellStyle name="SAPBEXformats 2 2" xfId="1235" xr:uid="{00000000-0005-0000-0000-0000DC040000}"/>
    <cellStyle name="SAPBEXformats 2 2 2" xfId="1236" xr:uid="{00000000-0005-0000-0000-0000DD040000}"/>
    <cellStyle name="SAPBEXformats 3" xfId="1237" xr:uid="{00000000-0005-0000-0000-0000DE040000}"/>
    <cellStyle name="SAPBEXformats 4" xfId="1238" xr:uid="{00000000-0005-0000-0000-0000DF040000}"/>
    <cellStyle name="SAPBEXformats 5" xfId="1239" xr:uid="{00000000-0005-0000-0000-0000E0040000}"/>
    <cellStyle name="SAPBEXformats 6" xfId="1240" xr:uid="{00000000-0005-0000-0000-0000E1040000}"/>
    <cellStyle name="SAPBEXformats 7" xfId="1241" xr:uid="{00000000-0005-0000-0000-0000E2040000}"/>
    <cellStyle name="SAPBEXformats 8" xfId="1242" xr:uid="{00000000-0005-0000-0000-0000E3040000}"/>
    <cellStyle name="SAPBEXformats 9" xfId="1243" xr:uid="{00000000-0005-0000-0000-0000E4040000}"/>
    <cellStyle name="SAPBEXformats_gxaccion, 68" xfId="1244" xr:uid="{00000000-0005-0000-0000-0000E5040000}"/>
    <cellStyle name="SAPBEXheaderItem" xfId="1245" xr:uid="{00000000-0005-0000-0000-0000E6040000}"/>
    <cellStyle name="SAPBEXheaderItem 10" xfId="1246" xr:uid="{00000000-0005-0000-0000-0000E7040000}"/>
    <cellStyle name="SAPBEXheaderItem 11" xfId="1247" xr:uid="{00000000-0005-0000-0000-0000E8040000}"/>
    <cellStyle name="SAPBEXheaderItem 2" xfId="1248" xr:uid="{00000000-0005-0000-0000-0000E9040000}"/>
    <cellStyle name="SAPBEXheaderItem 2 2" xfId="1249" xr:uid="{00000000-0005-0000-0000-0000EA040000}"/>
    <cellStyle name="SAPBEXheaderItem 2 2 2" xfId="1250" xr:uid="{00000000-0005-0000-0000-0000EB040000}"/>
    <cellStyle name="SAPBEXheaderItem 3" xfId="1251" xr:uid="{00000000-0005-0000-0000-0000EC040000}"/>
    <cellStyle name="SAPBEXheaderItem 4" xfId="1252" xr:uid="{00000000-0005-0000-0000-0000ED040000}"/>
    <cellStyle name="SAPBEXheaderItem 5" xfId="1253" xr:uid="{00000000-0005-0000-0000-0000EE040000}"/>
    <cellStyle name="SAPBEXheaderItem 6" xfId="1254" xr:uid="{00000000-0005-0000-0000-0000EF040000}"/>
    <cellStyle name="SAPBEXheaderItem 7" xfId="1255" xr:uid="{00000000-0005-0000-0000-0000F0040000}"/>
    <cellStyle name="SAPBEXheaderItem 8" xfId="1256" xr:uid="{00000000-0005-0000-0000-0000F1040000}"/>
    <cellStyle name="SAPBEXheaderItem 9" xfId="1257" xr:uid="{00000000-0005-0000-0000-0000F2040000}"/>
    <cellStyle name="SAPBEXheaderItem_gxaccion, 68" xfId="1258" xr:uid="{00000000-0005-0000-0000-0000F3040000}"/>
    <cellStyle name="SAPBEXheaderText" xfId="1259" xr:uid="{00000000-0005-0000-0000-0000F4040000}"/>
    <cellStyle name="SAPBEXheaderText 10" xfId="1260" xr:uid="{00000000-0005-0000-0000-0000F5040000}"/>
    <cellStyle name="SAPBEXheaderText 11" xfId="1261" xr:uid="{00000000-0005-0000-0000-0000F6040000}"/>
    <cellStyle name="SAPBEXheaderText 2" xfId="1262" xr:uid="{00000000-0005-0000-0000-0000F7040000}"/>
    <cellStyle name="SAPBEXheaderText 2 2" xfId="1263" xr:uid="{00000000-0005-0000-0000-0000F8040000}"/>
    <cellStyle name="SAPBEXheaderText 2 2 2" xfId="1264" xr:uid="{00000000-0005-0000-0000-0000F9040000}"/>
    <cellStyle name="SAPBEXheaderText 3" xfId="1265" xr:uid="{00000000-0005-0000-0000-0000FA040000}"/>
    <cellStyle name="SAPBEXheaderText 4" xfId="1266" xr:uid="{00000000-0005-0000-0000-0000FB040000}"/>
    <cellStyle name="SAPBEXheaderText 5" xfId="1267" xr:uid="{00000000-0005-0000-0000-0000FC040000}"/>
    <cellStyle name="SAPBEXheaderText 6" xfId="1268" xr:uid="{00000000-0005-0000-0000-0000FD040000}"/>
    <cellStyle name="SAPBEXheaderText 7" xfId="1269" xr:uid="{00000000-0005-0000-0000-0000FE040000}"/>
    <cellStyle name="SAPBEXheaderText 8" xfId="1270" xr:uid="{00000000-0005-0000-0000-0000FF040000}"/>
    <cellStyle name="SAPBEXheaderText 9" xfId="1271" xr:uid="{00000000-0005-0000-0000-000000050000}"/>
    <cellStyle name="SAPBEXheaderText_gxaccion, 68" xfId="1272" xr:uid="{00000000-0005-0000-0000-000001050000}"/>
    <cellStyle name="SAPBEXHLevel0" xfId="1273" xr:uid="{00000000-0005-0000-0000-000002050000}"/>
    <cellStyle name="SAPBEXHLevel0 10" xfId="1274" xr:uid="{00000000-0005-0000-0000-000003050000}"/>
    <cellStyle name="SAPBEXHLevel0 11" xfId="1275" xr:uid="{00000000-0005-0000-0000-000004050000}"/>
    <cellStyle name="SAPBEXHLevel0 2" xfId="1276" xr:uid="{00000000-0005-0000-0000-000005050000}"/>
    <cellStyle name="SAPBEXHLevel0 2 2" xfId="1277" xr:uid="{00000000-0005-0000-0000-000006050000}"/>
    <cellStyle name="SAPBEXHLevel0 2 2 2" xfId="1278" xr:uid="{00000000-0005-0000-0000-000007050000}"/>
    <cellStyle name="SAPBEXHLevel0 3" xfId="1279" xr:uid="{00000000-0005-0000-0000-000008050000}"/>
    <cellStyle name="SAPBEXHLevel0 4" xfId="1280" xr:uid="{00000000-0005-0000-0000-000009050000}"/>
    <cellStyle name="SAPBEXHLevel0 5" xfId="1281" xr:uid="{00000000-0005-0000-0000-00000A050000}"/>
    <cellStyle name="SAPBEXHLevel0 6" xfId="1282" xr:uid="{00000000-0005-0000-0000-00000B050000}"/>
    <cellStyle name="SAPBEXHLevel0 7" xfId="1283" xr:uid="{00000000-0005-0000-0000-00000C050000}"/>
    <cellStyle name="SAPBEXHLevel0 8" xfId="1284" xr:uid="{00000000-0005-0000-0000-00000D050000}"/>
    <cellStyle name="SAPBEXHLevel0 9" xfId="1285" xr:uid="{00000000-0005-0000-0000-00000E050000}"/>
    <cellStyle name="SAPBEXHLevel0_gxaccion, 68" xfId="1286" xr:uid="{00000000-0005-0000-0000-00000F050000}"/>
    <cellStyle name="SAPBEXHLevel0X" xfId="1287" xr:uid="{00000000-0005-0000-0000-000010050000}"/>
    <cellStyle name="SAPBEXHLevel0X 10" xfId="1288" xr:uid="{00000000-0005-0000-0000-000011050000}"/>
    <cellStyle name="SAPBEXHLevel0X 11" xfId="1289" xr:uid="{00000000-0005-0000-0000-000012050000}"/>
    <cellStyle name="SAPBEXHLevel0X 2" xfId="1290" xr:uid="{00000000-0005-0000-0000-000013050000}"/>
    <cellStyle name="SAPBEXHLevel0X 2 2" xfId="1291" xr:uid="{00000000-0005-0000-0000-000014050000}"/>
    <cellStyle name="SAPBEXHLevel0X 2 2 2" xfId="1292" xr:uid="{00000000-0005-0000-0000-000015050000}"/>
    <cellStyle name="SAPBEXHLevel0X 3" xfId="1293" xr:uid="{00000000-0005-0000-0000-000016050000}"/>
    <cellStyle name="SAPBEXHLevel0X 4" xfId="1294" xr:uid="{00000000-0005-0000-0000-000017050000}"/>
    <cellStyle name="SAPBEXHLevel0X 5" xfId="1295" xr:uid="{00000000-0005-0000-0000-000018050000}"/>
    <cellStyle name="SAPBEXHLevel0X 6" xfId="1296" xr:uid="{00000000-0005-0000-0000-000019050000}"/>
    <cellStyle name="SAPBEXHLevel0X 7" xfId="1297" xr:uid="{00000000-0005-0000-0000-00001A050000}"/>
    <cellStyle name="SAPBEXHLevel0X 8" xfId="1298" xr:uid="{00000000-0005-0000-0000-00001B050000}"/>
    <cellStyle name="SAPBEXHLevel0X 9" xfId="1299" xr:uid="{00000000-0005-0000-0000-00001C050000}"/>
    <cellStyle name="SAPBEXHLevel0X_gxaccion, 68" xfId="1300" xr:uid="{00000000-0005-0000-0000-00001D050000}"/>
    <cellStyle name="SAPBEXHLevel1" xfId="1301" xr:uid="{00000000-0005-0000-0000-00001E050000}"/>
    <cellStyle name="SAPBEXHLevel1 10" xfId="1302" xr:uid="{00000000-0005-0000-0000-00001F050000}"/>
    <cellStyle name="SAPBEXHLevel1 11" xfId="1303" xr:uid="{00000000-0005-0000-0000-000020050000}"/>
    <cellStyle name="SAPBEXHLevel1 2" xfId="1304" xr:uid="{00000000-0005-0000-0000-000021050000}"/>
    <cellStyle name="SAPBEXHLevel1 2 2" xfId="1305" xr:uid="{00000000-0005-0000-0000-000022050000}"/>
    <cellStyle name="SAPBEXHLevel1 2 2 2" xfId="1306" xr:uid="{00000000-0005-0000-0000-000023050000}"/>
    <cellStyle name="SAPBEXHLevel1 3" xfId="1307" xr:uid="{00000000-0005-0000-0000-000024050000}"/>
    <cellStyle name="SAPBEXHLevel1 4" xfId="1308" xr:uid="{00000000-0005-0000-0000-000025050000}"/>
    <cellStyle name="SAPBEXHLevel1 5" xfId="1309" xr:uid="{00000000-0005-0000-0000-000026050000}"/>
    <cellStyle name="SAPBEXHLevel1 6" xfId="1310" xr:uid="{00000000-0005-0000-0000-000027050000}"/>
    <cellStyle name="SAPBEXHLevel1 7" xfId="1311" xr:uid="{00000000-0005-0000-0000-000028050000}"/>
    <cellStyle name="SAPBEXHLevel1 8" xfId="1312" xr:uid="{00000000-0005-0000-0000-000029050000}"/>
    <cellStyle name="SAPBEXHLevel1 9" xfId="1313" xr:uid="{00000000-0005-0000-0000-00002A050000}"/>
    <cellStyle name="SAPBEXHLevel1_gxaccion, 68" xfId="1314" xr:uid="{00000000-0005-0000-0000-00002B050000}"/>
    <cellStyle name="SAPBEXHLevel1X" xfId="1315" xr:uid="{00000000-0005-0000-0000-00002C050000}"/>
    <cellStyle name="SAPBEXHLevel1X 10" xfId="1316" xr:uid="{00000000-0005-0000-0000-00002D050000}"/>
    <cellStyle name="SAPBEXHLevel1X 11" xfId="1317" xr:uid="{00000000-0005-0000-0000-00002E050000}"/>
    <cellStyle name="SAPBEXHLevel1X 2" xfId="1318" xr:uid="{00000000-0005-0000-0000-00002F050000}"/>
    <cellStyle name="SAPBEXHLevel1X 2 2" xfId="1319" xr:uid="{00000000-0005-0000-0000-000030050000}"/>
    <cellStyle name="SAPBEXHLevel1X 2 2 2" xfId="1320" xr:uid="{00000000-0005-0000-0000-000031050000}"/>
    <cellStyle name="SAPBEXHLevel1X 3" xfId="1321" xr:uid="{00000000-0005-0000-0000-000032050000}"/>
    <cellStyle name="SAPBEXHLevel1X 4" xfId="1322" xr:uid="{00000000-0005-0000-0000-000033050000}"/>
    <cellStyle name="SAPBEXHLevel1X 5" xfId="1323" xr:uid="{00000000-0005-0000-0000-000034050000}"/>
    <cellStyle name="SAPBEXHLevel1X 6" xfId="1324" xr:uid="{00000000-0005-0000-0000-000035050000}"/>
    <cellStyle name="SAPBEXHLevel1X 7" xfId="1325" xr:uid="{00000000-0005-0000-0000-000036050000}"/>
    <cellStyle name="SAPBEXHLevel1X 8" xfId="1326" xr:uid="{00000000-0005-0000-0000-000037050000}"/>
    <cellStyle name="SAPBEXHLevel1X 9" xfId="1327" xr:uid="{00000000-0005-0000-0000-000038050000}"/>
    <cellStyle name="SAPBEXHLevel1X_gxaccion, 68" xfId="1328" xr:uid="{00000000-0005-0000-0000-000039050000}"/>
    <cellStyle name="SAPBEXHLevel2" xfId="1329" xr:uid="{00000000-0005-0000-0000-00003A050000}"/>
    <cellStyle name="SAPBEXHLevel2 10" xfId="1330" xr:uid="{00000000-0005-0000-0000-00003B050000}"/>
    <cellStyle name="SAPBEXHLevel2 11" xfId="1331" xr:uid="{00000000-0005-0000-0000-00003C050000}"/>
    <cellStyle name="SAPBEXHLevel2 2" xfId="1332" xr:uid="{00000000-0005-0000-0000-00003D050000}"/>
    <cellStyle name="SAPBEXHLevel2 2 2" xfId="1333" xr:uid="{00000000-0005-0000-0000-00003E050000}"/>
    <cellStyle name="SAPBEXHLevel2 2 2 2" xfId="1334" xr:uid="{00000000-0005-0000-0000-00003F050000}"/>
    <cellStyle name="SAPBEXHLevel2 3" xfId="1335" xr:uid="{00000000-0005-0000-0000-000040050000}"/>
    <cellStyle name="SAPBEXHLevel2 4" xfId="1336" xr:uid="{00000000-0005-0000-0000-000041050000}"/>
    <cellStyle name="SAPBEXHLevel2 5" xfId="1337" xr:uid="{00000000-0005-0000-0000-000042050000}"/>
    <cellStyle name="SAPBEXHLevel2 6" xfId="1338" xr:uid="{00000000-0005-0000-0000-000043050000}"/>
    <cellStyle name="SAPBEXHLevel2 7" xfId="1339" xr:uid="{00000000-0005-0000-0000-000044050000}"/>
    <cellStyle name="SAPBEXHLevel2 8" xfId="1340" xr:uid="{00000000-0005-0000-0000-000045050000}"/>
    <cellStyle name="SAPBEXHLevel2 9" xfId="1341" xr:uid="{00000000-0005-0000-0000-000046050000}"/>
    <cellStyle name="SAPBEXHLevel2_gxaccion, 68" xfId="1342" xr:uid="{00000000-0005-0000-0000-000047050000}"/>
    <cellStyle name="SAPBEXHLevel2X" xfId="1343" xr:uid="{00000000-0005-0000-0000-000048050000}"/>
    <cellStyle name="SAPBEXHLevel2X 10" xfId="1344" xr:uid="{00000000-0005-0000-0000-000049050000}"/>
    <cellStyle name="SAPBEXHLevel2X 11" xfId="1345" xr:uid="{00000000-0005-0000-0000-00004A050000}"/>
    <cellStyle name="SAPBEXHLevel2X 2" xfId="1346" xr:uid="{00000000-0005-0000-0000-00004B050000}"/>
    <cellStyle name="SAPBEXHLevel2X 2 2" xfId="1347" xr:uid="{00000000-0005-0000-0000-00004C050000}"/>
    <cellStyle name="SAPBEXHLevel2X 2 2 2" xfId="1348" xr:uid="{00000000-0005-0000-0000-00004D050000}"/>
    <cellStyle name="SAPBEXHLevel2X 3" xfId="1349" xr:uid="{00000000-0005-0000-0000-00004E050000}"/>
    <cellStyle name="SAPBEXHLevel2X 4" xfId="1350" xr:uid="{00000000-0005-0000-0000-00004F050000}"/>
    <cellStyle name="SAPBEXHLevel2X 5" xfId="1351" xr:uid="{00000000-0005-0000-0000-000050050000}"/>
    <cellStyle name="SAPBEXHLevel2X 6" xfId="1352" xr:uid="{00000000-0005-0000-0000-000051050000}"/>
    <cellStyle name="SAPBEXHLevel2X 7" xfId="1353" xr:uid="{00000000-0005-0000-0000-000052050000}"/>
    <cellStyle name="SAPBEXHLevel2X 8" xfId="1354" xr:uid="{00000000-0005-0000-0000-000053050000}"/>
    <cellStyle name="SAPBEXHLevel2X 9" xfId="1355" xr:uid="{00000000-0005-0000-0000-000054050000}"/>
    <cellStyle name="SAPBEXHLevel2X_gxaccion, 68" xfId="1356" xr:uid="{00000000-0005-0000-0000-000055050000}"/>
    <cellStyle name="SAPBEXHLevel3" xfId="1357" xr:uid="{00000000-0005-0000-0000-000056050000}"/>
    <cellStyle name="SAPBEXHLevel3 10" xfId="1358" xr:uid="{00000000-0005-0000-0000-000057050000}"/>
    <cellStyle name="SAPBEXHLevel3 11" xfId="1359" xr:uid="{00000000-0005-0000-0000-000058050000}"/>
    <cellStyle name="SAPBEXHLevel3 2" xfId="1360" xr:uid="{00000000-0005-0000-0000-000059050000}"/>
    <cellStyle name="SAPBEXHLevel3 2 2" xfId="1361" xr:uid="{00000000-0005-0000-0000-00005A050000}"/>
    <cellStyle name="SAPBEXHLevel3 2 2 2" xfId="1362" xr:uid="{00000000-0005-0000-0000-00005B050000}"/>
    <cellStyle name="SAPBEXHLevel3 3" xfId="1363" xr:uid="{00000000-0005-0000-0000-00005C050000}"/>
    <cellStyle name="SAPBEXHLevel3 4" xfId="1364" xr:uid="{00000000-0005-0000-0000-00005D050000}"/>
    <cellStyle name="SAPBEXHLevel3 5" xfId="1365" xr:uid="{00000000-0005-0000-0000-00005E050000}"/>
    <cellStyle name="SAPBEXHLevel3 6" xfId="1366" xr:uid="{00000000-0005-0000-0000-00005F050000}"/>
    <cellStyle name="SAPBEXHLevel3 7" xfId="1367" xr:uid="{00000000-0005-0000-0000-000060050000}"/>
    <cellStyle name="SAPBEXHLevel3 8" xfId="1368" xr:uid="{00000000-0005-0000-0000-000061050000}"/>
    <cellStyle name="SAPBEXHLevel3 9" xfId="1369" xr:uid="{00000000-0005-0000-0000-000062050000}"/>
    <cellStyle name="SAPBEXHLevel3_gxaccion, 68" xfId="1370" xr:uid="{00000000-0005-0000-0000-000063050000}"/>
    <cellStyle name="SAPBEXHLevel3X" xfId="1371" xr:uid="{00000000-0005-0000-0000-000064050000}"/>
    <cellStyle name="SAPBEXHLevel3X 10" xfId="1372" xr:uid="{00000000-0005-0000-0000-000065050000}"/>
    <cellStyle name="SAPBEXHLevel3X 11" xfId="1373" xr:uid="{00000000-0005-0000-0000-000066050000}"/>
    <cellStyle name="SAPBEXHLevel3X 2" xfId="1374" xr:uid="{00000000-0005-0000-0000-000067050000}"/>
    <cellStyle name="SAPBEXHLevel3X 2 2" xfId="1375" xr:uid="{00000000-0005-0000-0000-000068050000}"/>
    <cellStyle name="SAPBEXHLevel3X 2 2 2" xfId="1376" xr:uid="{00000000-0005-0000-0000-000069050000}"/>
    <cellStyle name="SAPBEXHLevel3X 3" xfId="1377" xr:uid="{00000000-0005-0000-0000-00006A050000}"/>
    <cellStyle name="SAPBEXHLevel3X 4" xfId="1378" xr:uid="{00000000-0005-0000-0000-00006B050000}"/>
    <cellStyle name="SAPBEXHLevel3X 5" xfId="1379" xr:uid="{00000000-0005-0000-0000-00006C050000}"/>
    <cellStyle name="SAPBEXHLevel3X 6" xfId="1380" xr:uid="{00000000-0005-0000-0000-00006D050000}"/>
    <cellStyle name="SAPBEXHLevel3X 7" xfId="1381" xr:uid="{00000000-0005-0000-0000-00006E050000}"/>
    <cellStyle name="SAPBEXHLevel3X 8" xfId="1382" xr:uid="{00000000-0005-0000-0000-00006F050000}"/>
    <cellStyle name="SAPBEXHLevel3X 9" xfId="1383" xr:uid="{00000000-0005-0000-0000-000070050000}"/>
    <cellStyle name="SAPBEXHLevel3X_gxaccion, 68" xfId="1384" xr:uid="{00000000-0005-0000-0000-000071050000}"/>
    <cellStyle name="SAPBEXinputData" xfId="1385" xr:uid="{00000000-0005-0000-0000-000072050000}"/>
    <cellStyle name="SAPBEXinputData 10" xfId="1386" xr:uid="{00000000-0005-0000-0000-000073050000}"/>
    <cellStyle name="SAPBEXinputData 11" xfId="1387" xr:uid="{00000000-0005-0000-0000-000074050000}"/>
    <cellStyle name="SAPBEXinputData 2" xfId="1388" xr:uid="{00000000-0005-0000-0000-000075050000}"/>
    <cellStyle name="SAPBEXinputData 2 2" xfId="1389" xr:uid="{00000000-0005-0000-0000-000076050000}"/>
    <cellStyle name="SAPBEXinputData 2 2 2" xfId="1390" xr:uid="{00000000-0005-0000-0000-000077050000}"/>
    <cellStyle name="SAPBEXinputData 3" xfId="1391" xr:uid="{00000000-0005-0000-0000-000078050000}"/>
    <cellStyle name="SAPBEXinputData 4" xfId="1392" xr:uid="{00000000-0005-0000-0000-000079050000}"/>
    <cellStyle name="SAPBEXinputData 5" xfId="1393" xr:uid="{00000000-0005-0000-0000-00007A050000}"/>
    <cellStyle name="SAPBEXinputData 6" xfId="1394" xr:uid="{00000000-0005-0000-0000-00007B050000}"/>
    <cellStyle name="SAPBEXinputData 7" xfId="1395" xr:uid="{00000000-0005-0000-0000-00007C050000}"/>
    <cellStyle name="SAPBEXinputData 8" xfId="1396" xr:uid="{00000000-0005-0000-0000-00007D050000}"/>
    <cellStyle name="SAPBEXinputData 9" xfId="1397" xr:uid="{00000000-0005-0000-0000-00007E050000}"/>
    <cellStyle name="SAPBEXinputData_gxaccion, 68" xfId="1398" xr:uid="{00000000-0005-0000-0000-00007F050000}"/>
    <cellStyle name="SAPBEXItemHeader" xfId="1399" xr:uid="{00000000-0005-0000-0000-000080050000}"/>
    <cellStyle name="SAPBEXresData" xfId="1400" xr:uid="{00000000-0005-0000-0000-000081050000}"/>
    <cellStyle name="SAPBEXresData 10" xfId="1401" xr:uid="{00000000-0005-0000-0000-000082050000}"/>
    <cellStyle name="SAPBEXresData 11" xfId="1402" xr:uid="{00000000-0005-0000-0000-000083050000}"/>
    <cellStyle name="SAPBEXresData 2" xfId="1403" xr:uid="{00000000-0005-0000-0000-000084050000}"/>
    <cellStyle name="SAPBEXresData 2 2" xfId="1404" xr:uid="{00000000-0005-0000-0000-000085050000}"/>
    <cellStyle name="SAPBEXresData 2 2 2" xfId="1405" xr:uid="{00000000-0005-0000-0000-000086050000}"/>
    <cellStyle name="SAPBEXresData 3" xfId="1406" xr:uid="{00000000-0005-0000-0000-000087050000}"/>
    <cellStyle name="SAPBEXresData 4" xfId="1407" xr:uid="{00000000-0005-0000-0000-000088050000}"/>
    <cellStyle name="SAPBEXresData 5" xfId="1408" xr:uid="{00000000-0005-0000-0000-000089050000}"/>
    <cellStyle name="SAPBEXresData 6" xfId="1409" xr:uid="{00000000-0005-0000-0000-00008A050000}"/>
    <cellStyle name="SAPBEXresData 7" xfId="1410" xr:uid="{00000000-0005-0000-0000-00008B050000}"/>
    <cellStyle name="SAPBEXresData 8" xfId="1411" xr:uid="{00000000-0005-0000-0000-00008C050000}"/>
    <cellStyle name="SAPBEXresData 9" xfId="1412" xr:uid="{00000000-0005-0000-0000-00008D050000}"/>
    <cellStyle name="SAPBEXresData_valor justo.junio2010" xfId="1413" xr:uid="{00000000-0005-0000-0000-00008E050000}"/>
    <cellStyle name="SAPBEXresDataEmph" xfId="1414" xr:uid="{00000000-0005-0000-0000-00008F050000}"/>
    <cellStyle name="SAPBEXresDataEmph 10" xfId="1415" xr:uid="{00000000-0005-0000-0000-000090050000}"/>
    <cellStyle name="SAPBEXresDataEmph 11" xfId="1416" xr:uid="{00000000-0005-0000-0000-000091050000}"/>
    <cellStyle name="SAPBEXresDataEmph 2" xfId="1417" xr:uid="{00000000-0005-0000-0000-000092050000}"/>
    <cellStyle name="SAPBEXresDataEmph 2 2" xfId="1418" xr:uid="{00000000-0005-0000-0000-000093050000}"/>
    <cellStyle name="SAPBEXresDataEmph 2 2 2" xfId="1419" xr:uid="{00000000-0005-0000-0000-000094050000}"/>
    <cellStyle name="SAPBEXresDataEmph 3" xfId="1420" xr:uid="{00000000-0005-0000-0000-000095050000}"/>
    <cellStyle name="SAPBEXresDataEmph 4" xfId="1421" xr:uid="{00000000-0005-0000-0000-000096050000}"/>
    <cellStyle name="SAPBEXresDataEmph 5" xfId="1422" xr:uid="{00000000-0005-0000-0000-000097050000}"/>
    <cellStyle name="SAPBEXresDataEmph 6" xfId="1423" xr:uid="{00000000-0005-0000-0000-000098050000}"/>
    <cellStyle name="SAPBEXresDataEmph 7" xfId="1424" xr:uid="{00000000-0005-0000-0000-000099050000}"/>
    <cellStyle name="SAPBEXresDataEmph 8" xfId="1425" xr:uid="{00000000-0005-0000-0000-00009A050000}"/>
    <cellStyle name="SAPBEXresDataEmph 9" xfId="1426" xr:uid="{00000000-0005-0000-0000-00009B050000}"/>
    <cellStyle name="SAPBEXresDataEmph_valor justo.junio2010" xfId="1427" xr:uid="{00000000-0005-0000-0000-00009C050000}"/>
    <cellStyle name="SAPBEXresItem" xfId="1428" xr:uid="{00000000-0005-0000-0000-00009D050000}"/>
    <cellStyle name="SAPBEXresItem 10" xfId="1429" xr:uid="{00000000-0005-0000-0000-00009E050000}"/>
    <cellStyle name="SAPBEXresItem 11" xfId="1430" xr:uid="{00000000-0005-0000-0000-00009F050000}"/>
    <cellStyle name="SAPBEXresItem 2" xfId="1431" xr:uid="{00000000-0005-0000-0000-0000A0050000}"/>
    <cellStyle name="SAPBEXresItem 2 2" xfId="1432" xr:uid="{00000000-0005-0000-0000-0000A1050000}"/>
    <cellStyle name="SAPBEXresItem 2 2 2" xfId="1433" xr:uid="{00000000-0005-0000-0000-0000A2050000}"/>
    <cellStyle name="SAPBEXresItem 3" xfId="1434" xr:uid="{00000000-0005-0000-0000-0000A3050000}"/>
    <cellStyle name="SAPBEXresItem 4" xfId="1435" xr:uid="{00000000-0005-0000-0000-0000A4050000}"/>
    <cellStyle name="SAPBEXresItem 5" xfId="1436" xr:uid="{00000000-0005-0000-0000-0000A5050000}"/>
    <cellStyle name="SAPBEXresItem 6" xfId="1437" xr:uid="{00000000-0005-0000-0000-0000A6050000}"/>
    <cellStyle name="SAPBEXresItem 7" xfId="1438" xr:uid="{00000000-0005-0000-0000-0000A7050000}"/>
    <cellStyle name="SAPBEXresItem 8" xfId="1439" xr:uid="{00000000-0005-0000-0000-0000A8050000}"/>
    <cellStyle name="SAPBEXresItem 9" xfId="1440" xr:uid="{00000000-0005-0000-0000-0000A9050000}"/>
    <cellStyle name="SAPBEXresItem_valor justo.junio2010" xfId="1441" xr:uid="{00000000-0005-0000-0000-0000AA050000}"/>
    <cellStyle name="SAPBEXresItemX" xfId="1442" xr:uid="{00000000-0005-0000-0000-0000AB050000}"/>
    <cellStyle name="SAPBEXresItemX 10" xfId="1443" xr:uid="{00000000-0005-0000-0000-0000AC050000}"/>
    <cellStyle name="SAPBEXresItemX 11" xfId="1444" xr:uid="{00000000-0005-0000-0000-0000AD050000}"/>
    <cellStyle name="SAPBEXresItemX 2" xfId="1445" xr:uid="{00000000-0005-0000-0000-0000AE050000}"/>
    <cellStyle name="SAPBEXresItemX 2 2" xfId="1446" xr:uid="{00000000-0005-0000-0000-0000AF050000}"/>
    <cellStyle name="SAPBEXresItemX 2 2 2" xfId="1447" xr:uid="{00000000-0005-0000-0000-0000B0050000}"/>
    <cellStyle name="SAPBEXresItemX 3" xfId="1448" xr:uid="{00000000-0005-0000-0000-0000B1050000}"/>
    <cellStyle name="SAPBEXresItemX 4" xfId="1449" xr:uid="{00000000-0005-0000-0000-0000B2050000}"/>
    <cellStyle name="SAPBEXresItemX 5" xfId="1450" xr:uid="{00000000-0005-0000-0000-0000B3050000}"/>
    <cellStyle name="SAPBEXresItemX 6" xfId="1451" xr:uid="{00000000-0005-0000-0000-0000B4050000}"/>
    <cellStyle name="SAPBEXresItemX 7" xfId="1452" xr:uid="{00000000-0005-0000-0000-0000B5050000}"/>
    <cellStyle name="SAPBEXresItemX 8" xfId="1453" xr:uid="{00000000-0005-0000-0000-0000B6050000}"/>
    <cellStyle name="SAPBEXresItemX 9" xfId="1454" xr:uid="{00000000-0005-0000-0000-0000B7050000}"/>
    <cellStyle name="SAPBEXresItemX_valor justo.junio2010" xfId="1455" xr:uid="{00000000-0005-0000-0000-0000B8050000}"/>
    <cellStyle name="SAPBEXstdData" xfId="1456" xr:uid="{00000000-0005-0000-0000-0000B9050000}"/>
    <cellStyle name="SAPBEXstdData 10" xfId="1457" xr:uid="{00000000-0005-0000-0000-0000BA050000}"/>
    <cellStyle name="SAPBEXstdData 11" xfId="1458" xr:uid="{00000000-0005-0000-0000-0000BB050000}"/>
    <cellStyle name="SAPBEXstdData 2" xfId="1459" xr:uid="{00000000-0005-0000-0000-0000BC050000}"/>
    <cellStyle name="SAPBEXstdData 2 2" xfId="1460" xr:uid="{00000000-0005-0000-0000-0000BD050000}"/>
    <cellStyle name="SAPBEXstdData 2 2 2" xfId="1461" xr:uid="{00000000-0005-0000-0000-0000BE050000}"/>
    <cellStyle name="SAPBEXstdData 3" xfId="1462" xr:uid="{00000000-0005-0000-0000-0000BF050000}"/>
    <cellStyle name="SAPBEXstdData 4" xfId="1463" xr:uid="{00000000-0005-0000-0000-0000C0050000}"/>
    <cellStyle name="SAPBEXstdData 5" xfId="1464" xr:uid="{00000000-0005-0000-0000-0000C1050000}"/>
    <cellStyle name="SAPBEXstdData 6" xfId="1465" xr:uid="{00000000-0005-0000-0000-0000C2050000}"/>
    <cellStyle name="SAPBEXstdData 7" xfId="1466" xr:uid="{00000000-0005-0000-0000-0000C3050000}"/>
    <cellStyle name="SAPBEXstdData 8" xfId="1467" xr:uid="{00000000-0005-0000-0000-0000C4050000}"/>
    <cellStyle name="SAPBEXstdData 9" xfId="1468" xr:uid="{00000000-0005-0000-0000-0000C5050000}"/>
    <cellStyle name="SAPBEXstdData_gxaccion, 68" xfId="1469" xr:uid="{00000000-0005-0000-0000-0000C6050000}"/>
    <cellStyle name="SAPBEXstdDataEmph" xfId="1470" xr:uid="{00000000-0005-0000-0000-0000C7050000}"/>
    <cellStyle name="SAPBEXstdDataEmph 10" xfId="1471" xr:uid="{00000000-0005-0000-0000-0000C8050000}"/>
    <cellStyle name="SAPBEXstdDataEmph 11" xfId="1472" xr:uid="{00000000-0005-0000-0000-0000C9050000}"/>
    <cellStyle name="SAPBEXstdDataEmph 2" xfId="1473" xr:uid="{00000000-0005-0000-0000-0000CA050000}"/>
    <cellStyle name="SAPBEXstdDataEmph 2 2" xfId="1474" xr:uid="{00000000-0005-0000-0000-0000CB050000}"/>
    <cellStyle name="SAPBEXstdDataEmph 2 2 2" xfId="1475" xr:uid="{00000000-0005-0000-0000-0000CC050000}"/>
    <cellStyle name="SAPBEXstdDataEmph 3" xfId="1476" xr:uid="{00000000-0005-0000-0000-0000CD050000}"/>
    <cellStyle name="SAPBEXstdDataEmph 4" xfId="1477" xr:uid="{00000000-0005-0000-0000-0000CE050000}"/>
    <cellStyle name="SAPBEXstdDataEmph 5" xfId="1478" xr:uid="{00000000-0005-0000-0000-0000CF050000}"/>
    <cellStyle name="SAPBEXstdDataEmph 6" xfId="1479" xr:uid="{00000000-0005-0000-0000-0000D0050000}"/>
    <cellStyle name="SAPBEXstdDataEmph 7" xfId="1480" xr:uid="{00000000-0005-0000-0000-0000D1050000}"/>
    <cellStyle name="SAPBEXstdDataEmph 8" xfId="1481" xr:uid="{00000000-0005-0000-0000-0000D2050000}"/>
    <cellStyle name="SAPBEXstdDataEmph 9" xfId="1482" xr:uid="{00000000-0005-0000-0000-0000D3050000}"/>
    <cellStyle name="SAPBEXstdDataEmph_valor justo.junio2010" xfId="1483" xr:uid="{00000000-0005-0000-0000-0000D4050000}"/>
    <cellStyle name="SAPBEXstdItem" xfId="1484" xr:uid="{00000000-0005-0000-0000-0000D5050000}"/>
    <cellStyle name="SAPBEXstdItem 10" xfId="1485" xr:uid="{00000000-0005-0000-0000-0000D6050000}"/>
    <cellStyle name="SAPBEXstdItem 11" xfId="1486" xr:uid="{00000000-0005-0000-0000-0000D7050000}"/>
    <cellStyle name="SAPBEXstdItem 2" xfId="1487" xr:uid="{00000000-0005-0000-0000-0000D8050000}"/>
    <cellStyle name="SAPBEXstdItem 2 2" xfId="1488" xr:uid="{00000000-0005-0000-0000-0000D9050000}"/>
    <cellStyle name="SAPBEXstdItem 2 2 2" xfId="1489" xr:uid="{00000000-0005-0000-0000-0000DA050000}"/>
    <cellStyle name="SAPBEXstdItem 3" xfId="1490" xr:uid="{00000000-0005-0000-0000-0000DB050000}"/>
    <cellStyle name="SAPBEXstdItem 4" xfId="1491" xr:uid="{00000000-0005-0000-0000-0000DC050000}"/>
    <cellStyle name="SAPBEXstdItem 5" xfId="1492" xr:uid="{00000000-0005-0000-0000-0000DD050000}"/>
    <cellStyle name="SAPBEXstdItem 6" xfId="1493" xr:uid="{00000000-0005-0000-0000-0000DE050000}"/>
    <cellStyle name="SAPBEXstdItem 7" xfId="1494" xr:uid="{00000000-0005-0000-0000-0000DF050000}"/>
    <cellStyle name="SAPBEXstdItem 8" xfId="1495" xr:uid="{00000000-0005-0000-0000-0000E0050000}"/>
    <cellStyle name="SAPBEXstdItem 9" xfId="1496" xr:uid="{00000000-0005-0000-0000-0000E1050000}"/>
    <cellStyle name="SAPBEXstdItem_gxaccion, 68" xfId="1497" xr:uid="{00000000-0005-0000-0000-0000E2050000}"/>
    <cellStyle name="SAPBEXstdItemX" xfId="1498" xr:uid="{00000000-0005-0000-0000-0000E3050000}"/>
    <cellStyle name="SAPBEXstdItemX 10" xfId="1499" xr:uid="{00000000-0005-0000-0000-0000E4050000}"/>
    <cellStyle name="SAPBEXstdItemX 11" xfId="1500" xr:uid="{00000000-0005-0000-0000-0000E5050000}"/>
    <cellStyle name="SAPBEXstdItemX 2" xfId="1501" xr:uid="{00000000-0005-0000-0000-0000E6050000}"/>
    <cellStyle name="SAPBEXstdItemX 2 2" xfId="1502" xr:uid="{00000000-0005-0000-0000-0000E7050000}"/>
    <cellStyle name="SAPBEXstdItemX 2 2 2" xfId="1503" xr:uid="{00000000-0005-0000-0000-0000E8050000}"/>
    <cellStyle name="SAPBEXstdItemX 3" xfId="1504" xr:uid="{00000000-0005-0000-0000-0000E9050000}"/>
    <cellStyle name="SAPBEXstdItemX 4" xfId="1505" xr:uid="{00000000-0005-0000-0000-0000EA050000}"/>
    <cellStyle name="SAPBEXstdItemX 5" xfId="1506" xr:uid="{00000000-0005-0000-0000-0000EB050000}"/>
    <cellStyle name="SAPBEXstdItemX 6" xfId="1507" xr:uid="{00000000-0005-0000-0000-0000EC050000}"/>
    <cellStyle name="SAPBEXstdItemX 7" xfId="1508" xr:uid="{00000000-0005-0000-0000-0000ED050000}"/>
    <cellStyle name="SAPBEXstdItemX 8" xfId="1509" xr:uid="{00000000-0005-0000-0000-0000EE050000}"/>
    <cellStyle name="SAPBEXstdItemX 9" xfId="1510" xr:uid="{00000000-0005-0000-0000-0000EF050000}"/>
    <cellStyle name="SAPBEXstdItemX_valor justo.junio2010" xfId="1511" xr:uid="{00000000-0005-0000-0000-0000F0050000}"/>
    <cellStyle name="SAPBEXtitle" xfId="1512" xr:uid="{00000000-0005-0000-0000-0000F1050000}"/>
    <cellStyle name="SAPBEXtitle 10" xfId="1513" xr:uid="{00000000-0005-0000-0000-0000F2050000}"/>
    <cellStyle name="SAPBEXtitle 11" xfId="1514" xr:uid="{00000000-0005-0000-0000-0000F3050000}"/>
    <cellStyle name="SAPBEXtitle 2" xfId="1515" xr:uid="{00000000-0005-0000-0000-0000F4050000}"/>
    <cellStyle name="SAPBEXtitle 2 2" xfId="1516" xr:uid="{00000000-0005-0000-0000-0000F5050000}"/>
    <cellStyle name="SAPBEXtitle 2 2 2" xfId="1517" xr:uid="{00000000-0005-0000-0000-0000F6050000}"/>
    <cellStyle name="SAPBEXtitle 3" xfId="1518" xr:uid="{00000000-0005-0000-0000-0000F7050000}"/>
    <cellStyle name="SAPBEXtitle 4" xfId="1519" xr:uid="{00000000-0005-0000-0000-0000F8050000}"/>
    <cellStyle name="SAPBEXtitle 5" xfId="1520" xr:uid="{00000000-0005-0000-0000-0000F9050000}"/>
    <cellStyle name="SAPBEXtitle 6" xfId="1521" xr:uid="{00000000-0005-0000-0000-0000FA050000}"/>
    <cellStyle name="SAPBEXtitle 7" xfId="1522" xr:uid="{00000000-0005-0000-0000-0000FB050000}"/>
    <cellStyle name="SAPBEXtitle 8" xfId="1523" xr:uid="{00000000-0005-0000-0000-0000FC050000}"/>
    <cellStyle name="SAPBEXtitle 9" xfId="1524" xr:uid="{00000000-0005-0000-0000-0000FD050000}"/>
    <cellStyle name="SAPBEXunassignedItem" xfId="1525" xr:uid="{00000000-0005-0000-0000-0000FE050000}"/>
    <cellStyle name="SAPBEXunassignedItem 2" xfId="1526" xr:uid="{00000000-0005-0000-0000-0000FF050000}"/>
    <cellStyle name="SAPBEXunassignedItem 3" xfId="1527" xr:uid="{00000000-0005-0000-0000-000000060000}"/>
    <cellStyle name="SAPBEXunassignedItem 4" xfId="1528" xr:uid="{00000000-0005-0000-0000-000001060000}"/>
    <cellStyle name="SAPBEXunassignedItem 5" xfId="1529" xr:uid="{00000000-0005-0000-0000-000002060000}"/>
    <cellStyle name="SAPBEXundefined" xfId="1530" xr:uid="{00000000-0005-0000-0000-000003060000}"/>
    <cellStyle name="SAPBEXundefined 10" xfId="1531" xr:uid="{00000000-0005-0000-0000-000004060000}"/>
    <cellStyle name="SAPBEXundefined 11" xfId="1532" xr:uid="{00000000-0005-0000-0000-000005060000}"/>
    <cellStyle name="SAPBEXundefined 2" xfId="1533" xr:uid="{00000000-0005-0000-0000-000006060000}"/>
    <cellStyle name="SAPBEXundefined 2 2" xfId="1534" xr:uid="{00000000-0005-0000-0000-000007060000}"/>
    <cellStyle name="SAPBEXundefined 2 2 2" xfId="1535" xr:uid="{00000000-0005-0000-0000-000008060000}"/>
    <cellStyle name="SAPBEXundefined 3" xfId="1536" xr:uid="{00000000-0005-0000-0000-000009060000}"/>
    <cellStyle name="SAPBEXundefined 4" xfId="1537" xr:uid="{00000000-0005-0000-0000-00000A060000}"/>
    <cellStyle name="SAPBEXundefined 5" xfId="1538" xr:uid="{00000000-0005-0000-0000-00000B060000}"/>
    <cellStyle name="SAPBEXundefined 6" xfId="1539" xr:uid="{00000000-0005-0000-0000-00000C060000}"/>
    <cellStyle name="SAPBEXundefined 7" xfId="1540" xr:uid="{00000000-0005-0000-0000-00000D060000}"/>
    <cellStyle name="SAPBEXundefined 8" xfId="1541" xr:uid="{00000000-0005-0000-0000-00000E060000}"/>
    <cellStyle name="SAPBEXundefined 9" xfId="1542" xr:uid="{00000000-0005-0000-0000-00000F060000}"/>
    <cellStyle name="SAPBEXundefined_valor justo.junio2010" xfId="1543" xr:uid="{00000000-0005-0000-0000-000010060000}"/>
    <cellStyle name="Sheet Title" xfId="1544" xr:uid="{00000000-0005-0000-0000-000011060000}"/>
    <cellStyle name="Suma" xfId="1545" xr:uid="{00000000-0005-0000-0000-000012060000}"/>
    <cellStyle name="Tekst obja?nienia" xfId="1546" xr:uid="{00000000-0005-0000-0000-000013060000}"/>
    <cellStyle name="Tekst objaśnienia" xfId="1547" xr:uid="{00000000-0005-0000-0000-000014060000}"/>
    <cellStyle name="Tekst ostrze?enia" xfId="1548" xr:uid="{00000000-0005-0000-0000-000015060000}"/>
    <cellStyle name="Tekst ostrzeżenia" xfId="1549" xr:uid="{00000000-0005-0000-0000-000016060000}"/>
    <cellStyle name="Texto de advertencia" xfId="1550" builtinId="11" customBuiltin="1"/>
    <cellStyle name="Texto de advertencia 2" xfId="1551" xr:uid="{00000000-0005-0000-0000-000018060000}"/>
    <cellStyle name="Texto de advertencia 2 2" xfId="1552" xr:uid="{00000000-0005-0000-0000-000019060000}"/>
    <cellStyle name="Texto de advertencia 2 3" xfId="1553" xr:uid="{00000000-0005-0000-0000-00001A060000}"/>
    <cellStyle name="Texto de advertencia 2 4" xfId="1554" xr:uid="{00000000-0005-0000-0000-00001B060000}"/>
    <cellStyle name="Texto de advertencia 2 5" xfId="1555" xr:uid="{00000000-0005-0000-0000-00001C060000}"/>
    <cellStyle name="Texto de advertencia 2 6" xfId="1556" xr:uid="{00000000-0005-0000-0000-00001D060000}"/>
    <cellStyle name="Texto de advertencia 3" xfId="1557" xr:uid="{00000000-0005-0000-0000-00001E060000}"/>
    <cellStyle name="Texto de advertencia 3 2" xfId="1558" xr:uid="{00000000-0005-0000-0000-00001F060000}"/>
    <cellStyle name="Texto de advertencia 3 3" xfId="1559" xr:uid="{00000000-0005-0000-0000-000020060000}"/>
    <cellStyle name="Texto de advertencia 3 4" xfId="1560" xr:uid="{00000000-0005-0000-0000-000021060000}"/>
    <cellStyle name="Texto de advertencia 3 5" xfId="1561" xr:uid="{00000000-0005-0000-0000-000022060000}"/>
    <cellStyle name="Texto de advertencia 4" xfId="1562" xr:uid="{00000000-0005-0000-0000-000023060000}"/>
    <cellStyle name="Texto de advertencia 4 2" xfId="1563" xr:uid="{00000000-0005-0000-0000-000024060000}"/>
    <cellStyle name="Texto de advertencia 4 3" xfId="1564" xr:uid="{00000000-0005-0000-0000-000025060000}"/>
    <cellStyle name="Texto de advertencia 4 4" xfId="1565" xr:uid="{00000000-0005-0000-0000-000026060000}"/>
    <cellStyle name="Texto de advertencia 4 5" xfId="1566" xr:uid="{00000000-0005-0000-0000-000027060000}"/>
    <cellStyle name="Texto de advertencia 5" xfId="1567" xr:uid="{00000000-0005-0000-0000-000028060000}"/>
    <cellStyle name="Texto de advertencia 5 2" xfId="1568" xr:uid="{00000000-0005-0000-0000-000029060000}"/>
    <cellStyle name="Texto de advertencia 5 3" xfId="1569" xr:uid="{00000000-0005-0000-0000-00002A060000}"/>
    <cellStyle name="Texto de advertencia 5 4" xfId="1570" xr:uid="{00000000-0005-0000-0000-00002B060000}"/>
    <cellStyle name="Texto de advertencia 5 5" xfId="1571" xr:uid="{00000000-0005-0000-0000-00002C060000}"/>
    <cellStyle name="Texto de advertencia 6" xfId="1572" xr:uid="{00000000-0005-0000-0000-00002D060000}"/>
    <cellStyle name="Texto de advertencia 6 2" xfId="1573" xr:uid="{00000000-0005-0000-0000-00002E060000}"/>
    <cellStyle name="Texto de advertencia 7" xfId="1574" xr:uid="{00000000-0005-0000-0000-00002F060000}"/>
    <cellStyle name="Texto de advertencia 8" xfId="1575" xr:uid="{00000000-0005-0000-0000-000030060000}"/>
    <cellStyle name="Texto de advertencia 9" xfId="1576" xr:uid="{00000000-0005-0000-0000-000031060000}"/>
    <cellStyle name="Texto explicativo" xfId="1577" builtinId="53" customBuiltin="1"/>
    <cellStyle name="Texto explicativo 2 2" xfId="1578" xr:uid="{00000000-0005-0000-0000-000033060000}"/>
    <cellStyle name="Title" xfId="1579" xr:uid="{00000000-0005-0000-0000-000034060000}"/>
    <cellStyle name="Título" xfId="1580" builtinId="15" customBuiltin="1"/>
    <cellStyle name="Título 1 2" xfId="1582" xr:uid="{00000000-0005-0000-0000-000036060000}"/>
    <cellStyle name="Título 1 2 2" xfId="1583" xr:uid="{00000000-0005-0000-0000-000037060000}"/>
    <cellStyle name="Título 1 2 3" xfId="1584" xr:uid="{00000000-0005-0000-0000-000038060000}"/>
    <cellStyle name="Título 1 2 4" xfId="1585" xr:uid="{00000000-0005-0000-0000-000039060000}"/>
    <cellStyle name="Título 1 2 5" xfId="1586" xr:uid="{00000000-0005-0000-0000-00003A060000}"/>
    <cellStyle name="Título 1 2 6" xfId="1587" xr:uid="{00000000-0005-0000-0000-00003B060000}"/>
    <cellStyle name="Título 1 3" xfId="1588" xr:uid="{00000000-0005-0000-0000-00003C060000}"/>
    <cellStyle name="Título 1 3 2" xfId="1589" xr:uid="{00000000-0005-0000-0000-00003D060000}"/>
    <cellStyle name="Título 1 3 3" xfId="1590" xr:uid="{00000000-0005-0000-0000-00003E060000}"/>
    <cellStyle name="Título 1 3 4" xfId="1591" xr:uid="{00000000-0005-0000-0000-00003F060000}"/>
    <cellStyle name="Título 1 3 5" xfId="1592" xr:uid="{00000000-0005-0000-0000-000040060000}"/>
    <cellStyle name="Título 1 4" xfId="1593" xr:uid="{00000000-0005-0000-0000-000041060000}"/>
    <cellStyle name="Título 1 4 2" xfId="1594" xr:uid="{00000000-0005-0000-0000-000042060000}"/>
    <cellStyle name="Título 1 4 3" xfId="1595" xr:uid="{00000000-0005-0000-0000-000043060000}"/>
    <cellStyle name="Título 1 4 4" xfId="1596" xr:uid="{00000000-0005-0000-0000-000044060000}"/>
    <cellStyle name="Título 1 4 5" xfId="1597" xr:uid="{00000000-0005-0000-0000-000045060000}"/>
    <cellStyle name="Título 1 5" xfId="1598" xr:uid="{00000000-0005-0000-0000-000046060000}"/>
    <cellStyle name="Título 1 5 2" xfId="1599" xr:uid="{00000000-0005-0000-0000-000047060000}"/>
    <cellStyle name="Título 1 5 3" xfId="1600" xr:uid="{00000000-0005-0000-0000-000048060000}"/>
    <cellStyle name="Título 1 5 4" xfId="1601" xr:uid="{00000000-0005-0000-0000-000049060000}"/>
    <cellStyle name="Título 1 5 5" xfId="1602" xr:uid="{00000000-0005-0000-0000-00004A060000}"/>
    <cellStyle name="Título 1 6" xfId="1603" xr:uid="{00000000-0005-0000-0000-00004B060000}"/>
    <cellStyle name="Título 1 7" xfId="1604" xr:uid="{00000000-0005-0000-0000-00004C060000}"/>
    <cellStyle name="Título 1 8" xfId="1605" xr:uid="{00000000-0005-0000-0000-00004D060000}"/>
    <cellStyle name="Título 1 9" xfId="1606" xr:uid="{00000000-0005-0000-0000-00004E060000}"/>
    <cellStyle name="Título 2" xfId="1607" builtinId="17" customBuiltin="1"/>
    <cellStyle name="Título 2 2" xfId="1608" xr:uid="{00000000-0005-0000-0000-000050060000}"/>
    <cellStyle name="Título 2 2 2" xfId="1609" xr:uid="{00000000-0005-0000-0000-000051060000}"/>
    <cellStyle name="Título 2 2 3" xfId="1610" xr:uid="{00000000-0005-0000-0000-000052060000}"/>
    <cellStyle name="Título 2 2 4" xfId="1611" xr:uid="{00000000-0005-0000-0000-000053060000}"/>
    <cellStyle name="Título 2 2 5" xfId="1612" xr:uid="{00000000-0005-0000-0000-000054060000}"/>
    <cellStyle name="Título 2 2 6" xfId="1613" xr:uid="{00000000-0005-0000-0000-000055060000}"/>
    <cellStyle name="Título 2 3" xfId="1614" xr:uid="{00000000-0005-0000-0000-000056060000}"/>
    <cellStyle name="Título 2 3 2" xfId="1615" xr:uid="{00000000-0005-0000-0000-000057060000}"/>
    <cellStyle name="Título 2 3 3" xfId="1616" xr:uid="{00000000-0005-0000-0000-000058060000}"/>
    <cellStyle name="Título 2 3 4" xfId="1617" xr:uid="{00000000-0005-0000-0000-000059060000}"/>
    <cellStyle name="Título 2 3 5" xfId="1618" xr:uid="{00000000-0005-0000-0000-00005A060000}"/>
    <cellStyle name="Título 2 4" xfId="1619" xr:uid="{00000000-0005-0000-0000-00005B060000}"/>
    <cellStyle name="Título 2 4 2" xfId="1620" xr:uid="{00000000-0005-0000-0000-00005C060000}"/>
    <cellStyle name="Título 2 4 3" xfId="1621" xr:uid="{00000000-0005-0000-0000-00005D060000}"/>
    <cellStyle name="Título 2 4 4" xfId="1622" xr:uid="{00000000-0005-0000-0000-00005E060000}"/>
    <cellStyle name="Título 2 4 5" xfId="1623" xr:uid="{00000000-0005-0000-0000-00005F060000}"/>
    <cellStyle name="Título 2 5" xfId="1624" xr:uid="{00000000-0005-0000-0000-000060060000}"/>
    <cellStyle name="Título 2 5 2" xfId="1625" xr:uid="{00000000-0005-0000-0000-000061060000}"/>
    <cellStyle name="Título 2 5 3" xfId="1626" xr:uid="{00000000-0005-0000-0000-000062060000}"/>
    <cellStyle name="Título 2 5 4" xfId="1627" xr:uid="{00000000-0005-0000-0000-000063060000}"/>
    <cellStyle name="Título 2 5 5" xfId="1628" xr:uid="{00000000-0005-0000-0000-000064060000}"/>
    <cellStyle name="Título 2 6" xfId="1629" xr:uid="{00000000-0005-0000-0000-000065060000}"/>
    <cellStyle name="Título 2 6 2" xfId="1630" xr:uid="{00000000-0005-0000-0000-000066060000}"/>
    <cellStyle name="Título 2 7" xfId="1631" xr:uid="{00000000-0005-0000-0000-000067060000}"/>
    <cellStyle name="Título 2 8" xfId="1632" xr:uid="{00000000-0005-0000-0000-000068060000}"/>
    <cellStyle name="Título 2 9" xfId="1633" xr:uid="{00000000-0005-0000-0000-000069060000}"/>
    <cellStyle name="Título 3" xfId="1634" builtinId="18" customBuiltin="1"/>
    <cellStyle name="Título 3 2" xfId="1635" xr:uid="{00000000-0005-0000-0000-00006B060000}"/>
    <cellStyle name="Título 3 2 2" xfId="1636" xr:uid="{00000000-0005-0000-0000-00006C060000}"/>
    <cellStyle name="Título 3 2 3" xfId="1637" xr:uid="{00000000-0005-0000-0000-00006D060000}"/>
    <cellStyle name="Título 3 2 4" xfId="1638" xr:uid="{00000000-0005-0000-0000-00006E060000}"/>
    <cellStyle name="Título 3 2 5" xfId="1639" xr:uid="{00000000-0005-0000-0000-00006F060000}"/>
    <cellStyle name="Título 3 2 6" xfId="1640" xr:uid="{00000000-0005-0000-0000-000070060000}"/>
    <cellStyle name="Título 3 3" xfId="1641" xr:uid="{00000000-0005-0000-0000-000071060000}"/>
    <cellStyle name="Título 3 3 2" xfId="1642" xr:uid="{00000000-0005-0000-0000-000072060000}"/>
    <cellStyle name="Título 3 3 3" xfId="1643" xr:uid="{00000000-0005-0000-0000-000073060000}"/>
    <cellStyle name="Título 3 3 4" xfId="1644" xr:uid="{00000000-0005-0000-0000-000074060000}"/>
    <cellStyle name="Título 3 3 5" xfId="1645" xr:uid="{00000000-0005-0000-0000-000075060000}"/>
    <cellStyle name="Título 3 4" xfId="1646" xr:uid="{00000000-0005-0000-0000-000076060000}"/>
    <cellStyle name="Título 3 4 2" xfId="1647" xr:uid="{00000000-0005-0000-0000-000077060000}"/>
    <cellStyle name="Título 3 4 3" xfId="1648" xr:uid="{00000000-0005-0000-0000-000078060000}"/>
    <cellStyle name="Título 3 4 4" xfId="1649" xr:uid="{00000000-0005-0000-0000-000079060000}"/>
    <cellStyle name="Título 3 4 5" xfId="1650" xr:uid="{00000000-0005-0000-0000-00007A060000}"/>
    <cellStyle name="Título 3 5" xfId="1651" xr:uid="{00000000-0005-0000-0000-00007B060000}"/>
    <cellStyle name="Título 3 5 2" xfId="1652" xr:uid="{00000000-0005-0000-0000-00007C060000}"/>
    <cellStyle name="Título 3 5 3" xfId="1653" xr:uid="{00000000-0005-0000-0000-00007D060000}"/>
    <cellStyle name="Título 3 5 4" xfId="1654" xr:uid="{00000000-0005-0000-0000-00007E060000}"/>
    <cellStyle name="Título 3 5 5" xfId="1655" xr:uid="{00000000-0005-0000-0000-00007F060000}"/>
    <cellStyle name="Título 3 6" xfId="1656" xr:uid="{00000000-0005-0000-0000-000080060000}"/>
    <cellStyle name="Título 3 6 2" xfId="1657" xr:uid="{00000000-0005-0000-0000-000081060000}"/>
    <cellStyle name="Título 3 7" xfId="1658" xr:uid="{00000000-0005-0000-0000-000082060000}"/>
    <cellStyle name="Título 3 8" xfId="1659" xr:uid="{00000000-0005-0000-0000-000083060000}"/>
    <cellStyle name="Título 3 9" xfId="1660" xr:uid="{00000000-0005-0000-0000-000084060000}"/>
    <cellStyle name="Total" xfId="1661" builtinId="25" customBuiltin="1"/>
    <cellStyle name="Total 2" xfId="1662" xr:uid="{00000000-0005-0000-0000-000086060000}"/>
    <cellStyle name="Total 2 2" xfId="1663" xr:uid="{00000000-0005-0000-0000-000087060000}"/>
    <cellStyle name="Total 2 3" xfId="1664" xr:uid="{00000000-0005-0000-0000-000088060000}"/>
    <cellStyle name="Total 2 4" xfId="1665" xr:uid="{00000000-0005-0000-0000-000089060000}"/>
    <cellStyle name="Total 2 5" xfId="1666" xr:uid="{00000000-0005-0000-0000-00008A060000}"/>
    <cellStyle name="Total 2 6" xfId="1667" xr:uid="{00000000-0005-0000-0000-00008B060000}"/>
    <cellStyle name="Total 3" xfId="1668" xr:uid="{00000000-0005-0000-0000-00008C060000}"/>
    <cellStyle name="Total 3 2" xfId="1669" xr:uid="{00000000-0005-0000-0000-00008D060000}"/>
    <cellStyle name="Total 3 3" xfId="1670" xr:uid="{00000000-0005-0000-0000-00008E060000}"/>
    <cellStyle name="Total 3 4" xfId="1671" xr:uid="{00000000-0005-0000-0000-00008F060000}"/>
    <cellStyle name="Total 3 5" xfId="1672" xr:uid="{00000000-0005-0000-0000-000090060000}"/>
    <cellStyle name="Total 4" xfId="1673" xr:uid="{00000000-0005-0000-0000-000091060000}"/>
    <cellStyle name="Total 4 2" xfId="1674" xr:uid="{00000000-0005-0000-0000-000092060000}"/>
    <cellStyle name="Total 4 3" xfId="1675" xr:uid="{00000000-0005-0000-0000-000093060000}"/>
    <cellStyle name="Total 4 4" xfId="1676" xr:uid="{00000000-0005-0000-0000-000094060000}"/>
    <cellStyle name="Total 4 5" xfId="1677" xr:uid="{00000000-0005-0000-0000-000095060000}"/>
    <cellStyle name="Total 5" xfId="1678" xr:uid="{00000000-0005-0000-0000-000096060000}"/>
    <cellStyle name="Total 5 2" xfId="1679" xr:uid="{00000000-0005-0000-0000-000097060000}"/>
    <cellStyle name="Total 5 3" xfId="1680" xr:uid="{00000000-0005-0000-0000-000098060000}"/>
    <cellStyle name="Total 5 4" xfId="1681" xr:uid="{00000000-0005-0000-0000-000099060000}"/>
    <cellStyle name="Total 5 5" xfId="1682" xr:uid="{00000000-0005-0000-0000-00009A060000}"/>
    <cellStyle name="Total 6" xfId="1683" xr:uid="{00000000-0005-0000-0000-00009B060000}"/>
    <cellStyle name="Total 7" xfId="1684" xr:uid="{00000000-0005-0000-0000-00009C060000}"/>
    <cellStyle name="Total 8" xfId="1685" xr:uid="{00000000-0005-0000-0000-00009D060000}"/>
    <cellStyle name="Total 9" xfId="1686" xr:uid="{00000000-0005-0000-0000-00009E060000}"/>
    <cellStyle name="Tytu?" xfId="1687" xr:uid="{00000000-0005-0000-0000-00009F060000}"/>
    <cellStyle name="Tytuł" xfId="1688" xr:uid="{00000000-0005-0000-0000-0000A0060000}"/>
    <cellStyle name="Uwaga" xfId="1689" xr:uid="{00000000-0005-0000-0000-0000A1060000}"/>
    <cellStyle name="Warning Text" xfId="1690" xr:uid="{00000000-0005-0000-0000-0000A2060000}"/>
    <cellStyle name="Warning Text 2" xfId="1691" xr:uid="{00000000-0005-0000-0000-0000A3060000}"/>
    <cellStyle name="Warning Text 3" xfId="1692" xr:uid="{00000000-0005-0000-0000-0000A4060000}"/>
    <cellStyle name="Warning Text 4" xfId="1693" xr:uid="{00000000-0005-0000-0000-0000A5060000}"/>
    <cellStyle name="Warning Text 5" xfId="1694" xr:uid="{00000000-0005-0000-0000-0000A6060000}"/>
    <cellStyle name="Z?e" xfId="1695" xr:uid="{00000000-0005-0000-0000-0000A7060000}"/>
    <cellStyle name="Złe" xfId="1696" xr:uid="{00000000-0005-0000-0000-0000A8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>
                <a:solidFill>
                  <a:schemeClr val="tx2"/>
                </a:solidFill>
              </a:rPr>
              <a:t>Composición por</a:t>
            </a:r>
            <a:r>
              <a:rPr lang="es-CL" sz="1200" baseline="0">
                <a:solidFill>
                  <a:schemeClr val="tx2"/>
                </a:solidFill>
              </a:rPr>
              <a:t> tasas</a:t>
            </a:r>
          </a:p>
          <a:p>
            <a:pPr>
              <a:defRPr/>
            </a:pPr>
            <a:r>
              <a:rPr lang="es-CL" sz="1200" baseline="0">
                <a:solidFill>
                  <a:schemeClr val="tx2"/>
                </a:solidFill>
              </a:rPr>
              <a:t>(M$)</a:t>
            </a:r>
            <a:endParaRPr lang="es-CL">
              <a:solidFill>
                <a:schemeClr val="tx2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tx2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 </a:t>
                    </a:r>
                    <a:fld id="{F5981ECC-95B5-42C1-932C-6B608290968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; </a:t>
                    </a:r>
                    <a:fld id="{007A2E95-6E00-49B0-8AD7-33ECD067C83B}" type="PERCENTAGE">
                      <a:rPr lang="en-US" baseline="0"/>
                      <a:pPr>
                        <a:defRPr>
                          <a:solidFill>
                            <a:schemeClr val="tx2"/>
                          </a:solidFill>
                        </a:defRPr>
                      </a:pPr>
                      <a:t>[PORCENTAJE]</a:t>
                    </a:fld>
                    <a:endParaRPr lang="en-US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1176054590</c:v>
                </c:pt>
                <c:pt idx="1">
                  <c:v>108938199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Composición por instrumentos</a:t>
            </a:r>
            <a:endParaRPr lang="es-CL" sz="1200">
              <a:solidFill>
                <a:schemeClr val="tx2"/>
              </a:solidFill>
              <a:effectLst/>
            </a:endParaRPr>
          </a:p>
          <a:p>
            <a:pPr>
              <a:defRPr sz="1200"/>
            </a:pPr>
            <a:r>
              <a:rPr lang="es-CL" sz="1200" b="0" i="0" baseline="0">
                <a:solidFill>
                  <a:schemeClr val="tx2"/>
                </a:solidFill>
                <a:effectLst/>
              </a:rPr>
              <a:t>(M$)</a:t>
            </a:r>
            <a:endParaRPr lang="es-CL" sz="1200">
              <a:solidFill>
                <a:schemeClr val="tx2"/>
              </a:solidFill>
              <a:effectLst/>
            </a:endParaRPr>
          </a:p>
        </c:rich>
      </c:tx>
      <c:layout>
        <c:manualLayout>
          <c:xMode val="edge"/>
          <c:yMode val="edge"/>
          <c:x val="0.31624987542751326"/>
          <c:y val="1.1740037665183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pieChart>
        <c:varyColors val="1"/>
        <c:ser>
          <c:idx val="0"/>
          <c:order val="0"/>
          <c:tx>
            <c:v>Serie 1</c:v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1.4568253567041525E-3"/>
                  <c:y val="-1.39165666953157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2.067207343735908E-3"/>
                  <c:y val="-0.31017503055760787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419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6325029057634428E-2"/>
                  <c:y val="8.159303066992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dLbl>
              <c:idx val="4"/>
              <c:layout>
                <c:manualLayout>
                  <c:x val="-0.19127448835272767"/>
                  <c:y val="1.056256735211076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6E-4AEB-8816-0E9D4164445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Bonos/Derivado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Financiera'!$C$13:$C$17</c:f>
              <c:numCache>
                <c:formatCode>0.00%</c:formatCode>
                <c:ptCount val="5"/>
                <c:pt idx="0">
                  <c:v>0.1421</c:v>
                </c:pt>
                <c:pt idx="1">
                  <c:v>0.66501999999999994</c:v>
                </c:pt>
                <c:pt idx="2">
                  <c:v>0.18936</c:v>
                </c:pt>
                <c:pt idx="3">
                  <c:v>0</c:v>
                </c:pt>
                <c:pt idx="4">
                  <c:v>3.5000000000000001E-3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ser>
          <c:idx val="1"/>
          <c:order val="1"/>
          <c:tx>
            <c:v>Serie 2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1B2-4923-9C1E-922558BB2CB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1B2-4923-9C1E-922558BB2CB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1B2-4923-9C1E-922558BB2CB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C1B2-4923-9C1E-922558BB2CB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C1B2-4923-9C1E-922558BB2C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Financiera'!$B$13:$B$17</c:f>
              <c:strCache>
                <c:ptCount val="5"/>
                <c:pt idx="0">
                  <c:v>AFRs</c:v>
                </c:pt>
                <c:pt idx="1">
                  <c:v>Bonos/Derivado</c:v>
                </c:pt>
                <c:pt idx="2">
                  <c:v>Préstamos</c:v>
                </c:pt>
                <c:pt idx="3">
                  <c:v>Forward </c:v>
                </c:pt>
                <c:pt idx="4">
                  <c:v>Pasivo por arrendamientos</c:v>
                </c:pt>
              </c:strCache>
            </c:strRef>
          </c:cat>
          <c:val>
            <c:numRef>
              <c:f>'Deuda Financiera'!$D$13:$D$17</c:f>
              <c:numCache>
                <c:formatCode>#,##0</c:formatCode>
                <c:ptCount val="5"/>
                <c:pt idx="0">
                  <c:v>182603868.21399999</c:v>
                </c:pt>
                <c:pt idx="1">
                  <c:v>854549533</c:v>
                </c:pt>
                <c:pt idx="2">
                  <c:v>243324297</c:v>
                </c:pt>
                <c:pt idx="3">
                  <c:v>0</c:v>
                </c:pt>
                <c:pt idx="4">
                  <c:v>4515091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54428</xdr:colOff>
      <xdr:row>19</xdr:row>
      <xdr:rowOff>54426</xdr:rowOff>
    </xdr:from>
    <xdr:to>
      <xdr:col>6</xdr:col>
      <xdr:colOff>662214</xdr:colOff>
      <xdr:row>41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41275</xdr:colOff>
      <xdr:row>2</xdr:row>
      <xdr:rowOff>155575</xdr:rowOff>
    </xdr:from>
    <xdr:to>
      <xdr:col>8</xdr:col>
      <xdr:colOff>583846</xdr:colOff>
      <xdr:row>26</xdr:row>
      <xdr:rowOff>15875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1275" y="473075"/>
          <a:ext cx="2828571" cy="36703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4</xdr:col>
      <xdr:colOff>254131</xdr:colOff>
      <xdr:row>27</xdr:row>
      <xdr:rowOff>133553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476250"/>
          <a:ext cx="2540131" cy="39435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&#176;F&#176;/2023/IV%20Trimestre/02%20Notas/Consolidaci&#243;n/Segmento/Nota%20Segmento%20Aguas%20Andinas_122023MB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&#176;F&#176;/2023/IV%20Trimestre/02%20Notas/Tesoreria/Perfil%20vencimiento%20contable%20diciembre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&#176;F&#176;/2023/IV%20Trimestre/01%20Estados%20Financieros/Word%20y%20excel/01%20Fecu%20AA%204T23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3\IV%20Trimestre\01%20Estados%20Financieros\AA\01%20Fecu%20AA%204T23%20v2.xlsx" TargetMode="External"/><Relationship Id="rId1" Type="http://schemas.openxmlformats.org/officeDocument/2006/relationships/externalLinkPath" Target="/E&#176;F&#176;/2023/IV%20Trimestre/01%20Estados%20Financieros/AA/01%20Fecu%20AA%204T23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&#176;F&#176;/2021/IV%20Trimestre/03%20Analisis%20Razonado/Tablas%20an&#225;lisis%20razonado%20AA_4T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&#176;F&#176;/2022/IV%20Trimestre/03%20Analisis%20Razonado/Tablas%20an&#225;lisis%20razonado%20AA_4T22_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aci&#243;n%20AA%20Analisis%20razonado%20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os Aguas Andinas (2)"/>
      <sheetName val="Segmentos IAM"/>
      <sheetName val="Segmentos Aguas Andinas"/>
      <sheetName val="Hoja3"/>
      <sheetName val="Resultado"/>
      <sheetName val="Hoja2"/>
      <sheetName val="Principales Clientes 2019_Aguas"/>
      <sheetName val="Hoja1"/>
    </sheetNames>
    <sheetDataSet>
      <sheetData sheetId="0" refreshError="1"/>
      <sheetData sheetId="1" refreshError="1"/>
      <sheetData sheetId="2">
        <row r="6">
          <cell r="C6">
            <v>602598942</v>
          </cell>
          <cell r="D6">
            <v>38256912</v>
          </cell>
          <cell r="E6">
            <v>545272804</v>
          </cell>
          <cell r="F6">
            <v>35195250</v>
          </cell>
        </row>
        <row r="7">
          <cell r="C7">
            <v>1896161</v>
          </cell>
          <cell r="D7">
            <v>11790101</v>
          </cell>
          <cell r="E7">
            <v>898163</v>
          </cell>
          <cell r="F7">
            <v>6002529</v>
          </cell>
        </row>
        <row r="9">
          <cell r="C9">
            <v>-75120562</v>
          </cell>
          <cell r="D9">
            <v>-13344316</v>
          </cell>
          <cell r="E9">
            <v>-68495199</v>
          </cell>
          <cell r="F9">
            <v>-11481885</v>
          </cell>
        </row>
        <row r="10">
          <cell r="C10">
            <v>-63136528</v>
          </cell>
          <cell r="D10">
            <v>-13322395</v>
          </cell>
          <cell r="E10">
            <v>-54987019</v>
          </cell>
          <cell r="F10">
            <v>-11411221</v>
          </cell>
        </row>
        <row r="11">
          <cell r="C11">
            <v>-144600226</v>
          </cell>
          <cell r="D11">
            <v>-14413805</v>
          </cell>
          <cell r="E11">
            <v>-120199719</v>
          </cell>
          <cell r="F11">
            <v>-11199232</v>
          </cell>
        </row>
        <row r="12">
          <cell r="C12">
            <v>-75423530</v>
          </cell>
          <cell r="D12">
            <v>-2310091</v>
          </cell>
          <cell r="E12">
            <v>-72764097</v>
          </cell>
          <cell r="F12">
            <v>-2091863</v>
          </cell>
        </row>
        <row r="13">
          <cell r="C13">
            <v>3685254</v>
          </cell>
          <cell r="D13">
            <v>-304432</v>
          </cell>
          <cell r="E13">
            <v>-1094059</v>
          </cell>
          <cell r="F13">
            <v>-383505</v>
          </cell>
        </row>
        <row r="14">
          <cell r="C14">
            <v>16224112</v>
          </cell>
          <cell r="D14">
            <v>355733</v>
          </cell>
          <cell r="E14">
            <v>16453344</v>
          </cell>
          <cell r="F14">
            <v>131931</v>
          </cell>
        </row>
        <row r="15">
          <cell r="C15">
            <v>-48657129</v>
          </cell>
          <cell r="D15">
            <v>-844241</v>
          </cell>
          <cell r="E15">
            <v>-36535307</v>
          </cell>
          <cell r="F15">
            <v>-701572</v>
          </cell>
        </row>
        <row r="16">
          <cell r="C16">
            <v>-12350413</v>
          </cell>
          <cell r="D16">
            <v>34067</v>
          </cell>
          <cell r="E16">
            <v>-13722028</v>
          </cell>
          <cell r="F16">
            <v>-108329</v>
          </cell>
        </row>
        <row r="17">
          <cell r="C17">
            <v>-43742503</v>
          </cell>
          <cell r="D17">
            <v>30442</v>
          </cell>
          <cell r="E17">
            <v>-116380641</v>
          </cell>
          <cell r="F17">
            <v>274146</v>
          </cell>
        </row>
        <row r="19">
          <cell r="C19">
            <v>-32554166</v>
          </cell>
          <cell r="D19">
            <v>-1355071</v>
          </cell>
          <cell r="E19">
            <v>2935457</v>
          </cell>
          <cell r="F19">
            <v>-357074</v>
          </cell>
        </row>
        <row r="21">
          <cell r="C21">
            <v>128817517</v>
          </cell>
          <cell r="D21">
            <v>4572904</v>
          </cell>
          <cell r="E21">
            <v>81379559</v>
          </cell>
          <cell r="F21">
            <v>3869175</v>
          </cell>
        </row>
        <row r="22">
          <cell r="C22">
            <v>1895</v>
          </cell>
          <cell r="E22">
            <v>2140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ble"/>
    </sheetNames>
    <sheetDataSet>
      <sheetData sheetId="0">
        <row r="7">
          <cell r="C7">
            <v>1029651903</v>
          </cell>
        </row>
        <row r="8">
          <cell r="C8">
            <v>6547124167</v>
          </cell>
          <cell r="E8">
            <v>21026854677</v>
          </cell>
          <cell r="G8">
            <v>40165694796</v>
          </cell>
          <cell r="I8">
            <v>37549422264</v>
          </cell>
          <cell r="K8">
            <v>77314771310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Dic 2022"/>
      <sheetName val="Resultado Dic 2022"/>
      <sheetName val="Balance Dic 2023"/>
      <sheetName val="Resultado Dic 2023"/>
      <sheetName val="Activo"/>
      <sheetName val="Pasivo"/>
      <sheetName val="Resultado"/>
      <sheetName val="Flujo"/>
      <sheetName val="Cambio Patrimonio"/>
      <sheetName val="N2.1 Pronunciamientos 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N14.2 IFRS 16"/>
      <sheetName val="Nota 14 Adic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6.6 Derivados"/>
      <sheetName val="N17 Acreed. Comerciales"/>
      <sheetName val="N17.1 Acreed. Comerc. por Venc."/>
      <sheetName val="N18 Otras Prov."/>
      <sheetName val="N19 Beneficios Empleados"/>
      <sheetName val="N20 Pas. No Financiero"/>
      <sheetName val="N21 Partic. No Controladoras"/>
      <sheetName val="N23 Perdidas de valor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3 Garantías y Rest."/>
      <sheetName val="N35 Costos finan. Capital."/>
      <sheetName val="N36 Medio ambiente"/>
      <sheetName val="N6 CxC CxP Relacionadas"/>
      <sheetName val="CovenantAA"/>
      <sheetName val="Covenan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3">
          <cell r="C13">
            <v>108938199</v>
          </cell>
        </row>
        <row r="14">
          <cell r="C14">
            <v>134386098</v>
          </cell>
        </row>
        <row r="15">
          <cell r="C15">
            <v>848806707</v>
          </cell>
        </row>
        <row r="16">
          <cell r="C16">
            <v>182603868</v>
          </cell>
        </row>
        <row r="17">
          <cell r="C17">
            <v>0</v>
          </cell>
        </row>
        <row r="18">
          <cell r="C18">
            <v>5742826</v>
          </cell>
        </row>
        <row r="19">
          <cell r="C19">
            <v>4515091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6">
          <cell r="C36">
            <v>1752912</v>
          </cell>
        </row>
        <row r="39">
          <cell r="C39">
            <v>148838</v>
          </cell>
        </row>
      </sheetData>
      <sheetData sheetId="31"/>
      <sheetData sheetId="32"/>
      <sheetData sheetId="33"/>
      <sheetData sheetId="34">
        <row r="22">
          <cell r="E22">
            <v>107083857</v>
          </cell>
        </row>
        <row r="23">
          <cell r="E23">
            <v>20737763</v>
          </cell>
        </row>
        <row r="24">
          <cell r="E24">
            <v>29507</v>
          </cell>
        </row>
        <row r="25">
          <cell r="E25">
            <v>-8305</v>
          </cell>
        </row>
        <row r="26">
          <cell r="E26">
            <v>27573979</v>
          </cell>
        </row>
        <row r="27">
          <cell r="E27">
            <v>0</v>
          </cell>
        </row>
        <row r="29">
          <cell r="E29">
            <v>1752912</v>
          </cell>
        </row>
        <row r="42">
          <cell r="E42">
            <v>136240440</v>
          </cell>
        </row>
        <row r="43">
          <cell r="E43">
            <v>785857777</v>
          </cell>
        </row>
        <row r="44">
          <cell r="E44">
            <v>11721373</v>
          </cell>
        </row>
        <row r="45">
          <cell r="E45">
            <v>30468592</v>
          </cell>
        </row>
        <row r="46">
          <cell r="E46">
            <v>155029889</v>
          </cell>
        </row>
        <row r="47">
          <cell r="E47">
            <v>5742826</v>
          </cell>
        </row>
        <row r="49">
          <cell r="E49">
            <v>2762179</v>
          </cell>
        </row>
      </sheetData>
      <sheetData sheetId="35"/>
      <sheetData sheetId="36">
        <row r="22">
          <cell r="I22">
            <v>107083857</v>
          </cell>
        </row>
      </sheetData>
      <sheetData sheetId="37">
        <row r="21">
          <cell r="G21">
            <v>106368440</v>
          </cell>
          <cell r="H21">
            <v>29872000</v>
          </cell>
        </row>
      </sheetData>
      <sheetData sheetId="38">
        <row r="23">
          <cell r="K23">
            <v>20758965</v>
          </cell>
        </row>
      </sheetData>
      <sheetData sheetId="39">
        <row r="23">
          <cell r="I23">
            <v>6903050</v>
          </cell>
          <cell r="J23">
            <v>0</v>
          </cell>
          <cell r="K23">
            <v>821144692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 Dic 2022"/>
      <sheetName val="Resultado Dic 2022"/>
      <sheetName val="Balance Dic 2023"/>
      <sheetName val="Resultado Dic 2023"/>
      <sheetName val="Activo"/>
      <sheetName val="Pasivo"/>
      <sheetName val="Resultado"/>
      <sheetName val="Flujo"/>
      <sheetName val="Cambio Patrimonio"/>
      <sheetName val="N2.1 Pronunciamientos "/>
      <sheetName val="N2.2 Filiales"/>
      <sheetName val="N2.2 Moneda Extranjera"/>
      <sheetName val="N2.2 Reclasificaciones"/>
      <sheetName val="N3 Perfil Vencimiento"/>
      <sheetName val="N3 Tasa de interes"/>
      <sheetName val="N3 Análisis de Sensibilización"/>
      <sheetName val="N4 Efectivo y Eq."/>
      <sheetName val="N4.1 Equivalente Efe."/>
      <sheetName val="N5 Deudores y Riesgo de Crédito"/>
      <sheetName val="N5 Estratificación Deudores"/>
      <sheetName val="N6 CxC Relacionadas"/>
      <sheetName val="N6 CxP Relacionadas"/>
      <sheetName val="N6 Transacciones EERR"/>
      <sheetName val="N6 Directorio y Comité"/>
      <sheetName val="N7 Inventarios"/>
      <sheetName val="N8 Impuestos Corrientes"/>
      <sheetName val="N9 Mantenido Venta"/>
      <sheetName val="N11 Intangibles"/>
      <sheetName val="N12 Plusvalía"/>
      <sheetName val="N13 PPE"/>
      <sheetName val="N14 Arrendamiento NIIF16"/>
      <sheetName val="N14.2 IFRS 16"/>
      <sheetName val="Nota 14 Adic"/>
      <sheetName val="N15 Impuestos Dif."/>
      <sheetName val="N16.3 Clases Instrum. Finan."/>
      <sheetName val="N16.4 AFR actual"/>
      <sheetName val="N16.4 Préstamos CP"/>
      <sheetName val="N16.4 Préstamos LP"/>
      <sheetName val="N16.4 Bonos CP"/>
      <sheetName val="N16.4 Bonos LP"/>
      <sheetName val="N16.4 Conciliación SI y SF"/>
      <sheetName val="N16.5 Valor Justo"/>
      <sheetName val="N16.6 Derivados"/>
      <sheetName val="N17 Acreed. Comerciales"/>
      <sheetName val="N17.1 Acreed. Comerc. por Venc."/>
      <sheetName val="N18 Otras Prov."/>
      <sheetName val="N19 Beneficios Empleados"/>
      <sheetName val="N20 Pas. No Financiero"/>
      <sheetName val="N21 Partic. No Controladoras"/>
      <sheetName val="N23 Perdidas de valor"/>
      <sheetName val="N24 Ingresos Ordinarios"/>
      <sheetName val="N25 Otros Gtos. Nat."/>
      <sheetName val="N26 Otros Ingresos y Gtos."/>
      <sheetName val="N27 Efecto Moneda Extran."/>
      <sheetName val="N28 Rdo. Unid. Reajuste"/>
      <sheetName val="N29 Operaciones Discontinuadas"/>
      <sheetName val="N30 Segmentos"/>
      <sheetName val="N31 Ganancia por acción"/>
      <sheetName val="N32 EEFF filiales"/>
      <sheetName val="N33 Garantías y Rest."/>
      <sheetName val="N35 Costos finan. Capital."/>
      <sheetName val="N36 Medio ambiente"/>
      <sheetName val="N6 CxC CxP Relacionadas"/>
      <sheetName val="CovenantAA"/>
      <sheetName val="Covenan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36">
          <cell r="G36">
            <v>1635333</v>
          </cell>
          <cell r="H36">
            <v>978008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6">
          <cell r="D6">
            <v>283854689</v>
          </cell>
        </row>
        <row r="7">
          <cell r="D7">
            <v>1945366921</v>
          </cell>
        </row>
        <row r="8">
          <cell r="D8">
            <v>2229221610</v>
          </cell>
        </row>
        <row r="10">
          <cell r="D10">
            <v>248642211</v>
          </cell>
        </row>
        <row r="11">
          <cell r="D11">
            <v>1138031686</v>
          </cell>
        </row>
        <row r="12">
          <cell r="D12">
            <v>27498</v>
          </cell>
        </row>
        <row r="13">
          <cell r="D13">
            <v>842520215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xRepositorySheet"/>
      <sheetName val="Resultados"/>
      <sheetName val="Resultados por Segmento"/>
      <sheetName val="Resultados Trim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Balance"/>
      <sheetName val="Resultado"/>
      <sheetName val="Flujo"/>
      <sheetName val="Anualizados"/>
      <sheetName val="Valor acció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D13">
            <v>838861526</v>
          </cell>
        </row>
        <row r="28">
          <cell r="D28">
            <v>242903240</v>
          </cell>
        </row>
        <row r="29">
          <cell r="D29">
            <v>-165900708</v>
          </cell>
        </row>
        <row r="30">
          <cell r="D30">
            <v>-61180505</v>
          </cell>
        </row>
        <row r="32">
          <cell r="D32">
            <v>163513314</v>
          </cell>
        </row>
        <row r="50">
          <cell r="C50">
            <v>575465445</v>
          </cell>
        </row>
        <row r="51">
          <cell r="C51">
            <v>-79574233</v>
          </cell>
        </row>
        <row r="52">
          <cell r="C52">
            <v>-66369413</v>
          </cell>
        </row>
        <row r="53">
          <cell r="C53">
            <v>-74811690</v>
          </cell>
        </row>
        <row r="54">
          <cell r="C54">
            <v>-13830357</v>
          </cell>
        </row>
        <row r="55">
          <cell r="C55">
            <v>-124929936</v>
          </cell>
        </row>
        <row r="57">
          <cell r="C57">
            <v>20981379</v>
          </cell>
        </row>
        <row r="58">
          <cell r="C58">
            <v>-36630374</v>
          </cell>
        </row>
        <row r="59">
          <cell r="C59">
            <v>-1367945</v>
          </cell>
        </row>
        <row r="60">
          <cell r="C60">
            <v>-114738552</v>
          </cell>
        </row>
        <row r="62">
          <cell r="C62">
            <v>-1521833</v>
          </cell>
        </row>
        <row r="65">
          <cell r="C65">
            <v>2578383</v>
          </cell>
        </row>
        <row r="66">
          <cell r="C66">
            <v>0</v>
          </cell>
        </row>
        <row r="67">
          <cell r="C67">
            <v>2140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vo"/>
      <sheetName val="Pasivo"/>
      <sheetName val="Resultado"/>
      <sheetName val="Flujo"/>
      <sheetName val="Cambio Patrimonio"/>
      <sheetName val="N30 Segmentos (2)"/>
    </sheetNames>
    <sheetDataSet>
      <sheetData sheetId="0">
        <row r="2">
          <cell r="B2" t="str">
            <v>ACTIVOS</v>
          </cell>
          <cell r="C2" t="str">
            <v>Nota</v>
          </cell>
          <cell r="D2">
            <v>45291</v>
          </cell>
          <cell r="E2">
            <v>44926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ACTIVOS CORRIENTES</v>
          </cell>
        </row>
        <row r="5">
          <cell r="B5" t="str">
            <v>Efectivo y equivalentes al efectivo</v>
          </cell>
          <cell r="C5">
            <v>4</v>
          </cell>
          <cell r="D5">
            <v>109156681</v>
          </cell>
          <cell r="E5">
            <v>179335341</v>
          </cell>
        </row>
        <row r="6">
          <cell r="B6" t="str">
            <v>Otros activos financieros</v>
          </cell>
          <cell r="C6">
            <v>10</v>
          </cell>
          <cell r="D6">
            <v>0</v>
          </cell>
          <cell r="E6">
            <v>0</v>
          </cell>
        </row>
        <row r="7">
          <cell r="B7" t="str">
            <v>Otros activos no financieros</v>
          </cell>
          <cell r="D7">
            <v>7180555</v>
          </cell>
          <cell r="E7">
            <v>4986319</v>
          </cell>
        </row>
        <row r="8">
          <cell r="B8" t="str">
            <v>Deudores comerciales y otras cuentas por cobrar</v>
          </cell>
          <cell r="C8">
            <v>5</v>
          </cell>
          <cell r="D8">
            <v>132007468</v>
          </cell>
          <cell r="E8">
            <v>122777327</v>
          </cell>
        </row>
        <row r="9">
          <cell r="B9" t="str">
            <v>Cuentas por cobrar a entidades relacionadas</v>
          </cell>
          <cell r="C9">
            <v>6</v>
          </cell>
          <cell r="D9">
            <v>14381</v>
          </cell>
          <cell r="E9">
            <v>23032</v>
          </cell>
        </row>
        <row r="10">
          <cell r="B10" t="str">
            <v>Inventarios</v>
          </cell>
          <cell r="C10">
            <v>7</v>
          </cell>
          <cell r="D10">
            <v>12812483</v>
          </cell>
          <cell r="E10">
            <v>12790532</v>
          </cell>
        </row>
        <row r="11">
          <cell r="B11" t="str">
            <v>Activos por impuestos corrientes</v>
          </cell>
          <cell r="C11">
            <v>8</v>
          </cell>
          <cell r="D11">
            <v>13829428</v>
          </cell>
          <cell r="E11">
            <v>2113281</v>
          </cell>
        </row>
        <row r="12">
          <cell r="B12" t="str">
            <v>Total de activos corrientes distintos de los activos o grupos de activos para su disposición clasificados como mantenidos para la venta o como mantenidos para distribuir a los propietarios</v>
          </cell>
          <cell r="D12">
            <v>275000996</v>
          </cell>
          <cell r="E12">
            <v>322025832</v>
          </cell>
        </row>
        <row r="13">
          <cell r="B13" t="str">
            <v>Activos no corrientes mantenidos para la venta</v>
          </cell>
          <cell r="C13">
            <v>9</v>
          </cell>
          <cell r="D13">
            <v>3414</v>
          </cell>
          <cell r="E13">
            <v>2812292</v>
          </cell>
        </row>
        <row r="14">
          <cell r="B14" t="str">
            <v>ACTIVOS CORRIENTES TOTALES</v>
          </cell>
          <cell r="D14">
            <v>275004410</v>
          </cell>
          <cell r="E14">
            <v>324838124</v>
          </cell>
        </row>
        <row r="15">
          <cell r="B15" t="str">
            <v>ACTIVOS NO CORRIENTES</v>
          </cell>
        </row>
        <row r="16">
          <cell r="B16" t="str">
            <v>Otros activos financieros no corrientes</v>
          </cell>
          <cell r="C16">
            <v>10</v>
          </cell>
          <cell r="D16">
            <v>7895863</v>
          </cell>
          <cell r="E16">
            <v>7895863</v>
          </cell>
        </row>
        <row r="17">
          <cell r="B17" t="str">
            <v>Otros activos no financieros no corrientes</v>
          </cell>
          <cell r="D17">
            <v>1481897</v>
          </cell>
          <cell r="E17">
            <v>1212641</v>
          </cell>
        </row>
        <row r="18">
          <cell r="B18" t="str">
            <v>Derechos por cobrar</v>
          </cell>
          <cell r="C18">
            <v>5</v>
          </cell>
          <cell r="D18">
            <v>3778724</v>
          </cell>
          <cell r="E18">
            <v>2816288</v>
          </cell>
        </row>
        <row r="19">
          <cell r="B19" t="str">
            <v>Inversiones contabilizadas utilizando el método de la partic</v>
          </cell>
          <cell r="D19">
            <v>0</v>
          </cell>
          <cell r="E19">
            <v>0</v>
          </cell>
        </row>
        <row r="20">
          <cell r="B20" t="str">
            <v>Activos intangibles distintos de la plusvalía</v>
          </cell>
          <cell r="C20">
            <v>11</v>
          </cell>
          <cell r="D20">
            <v>231747713</v>
          </cell>
          <cell r="E20">
            <v>233018981</v>
          </cell>
        </row>
        <row r="21">
          <cell r="B21" t="str">
            <v>Plusvalía</v>
          </cell>
          <cell r="C21">
            <v>12</v>
          </cell>
          <cell r="D21">
            <v>33823049</v>
          </cell>
          <cell r="E21">
            <v>33823049</v>
          </cell>
        </row>
        <row r="22">
          <cell r="B22" t="str">
            <v>Propiedades, plantas y equipos</v>
          </cell>
          <cell r="C22">
            <v>13</v>
          </cell>
          <cell r="D22">
            <v>1805370932</v>
          </cell>
          <cell r="E22">
            <v>1713896622</v>
          </cell>
        </row>
        <row r="23">
          <cell r="B23" t="str">
            <v>Activos por derecho de uso</v>
          </cell>
          <cell r="C23">
            <v>14</v>
          </cell>
          <cell r="D23">
            <v>4307072</v>
          </cell>
          <cell r="E23">
            <v>3987629</v>
          </cell>
        </row>
        <row r="24">
          <cell r="B24" t="str">
            <v>Activos por impuestos diferidos</v>
          </cell>
          <cell r="C24">
            <v>15</v>
          </cell>
          <cell r="D24">
            <v>59938069</v>
          </cell>
          <cell r="E24">
            <v>57860363</v>
          </cell>
        </row>
        <row r="25">
          <cell r="B25" t="str">
            <v>Cuentas por cobrar a entidades relacionadas</v>
          </cell>
          <cell r="D25">
            <v>0</v>
          </cell>
          <cell r="E25">
            <v>0</v>
          </cell>
        </row>
        <row r="26">
          <cell r="B26" t="str">
            <v>TOTAL DE ACTIVOS NO CORRIENTES</v>
          </cell>
          <cell r="D26">
            <v>2148343319</v>
          </cell>
          <cell r="E26">
            <v>2054511436</v>
          </cell>
        </row>
        <row r="28">
          <cell r="B28" t="str">
            <v>TOTAL DE ACTIVOS</v>
          </cell>
          <cell r="D28">
            <v>2423347729</v>
          </cell>
          <cell r="E28">
            <v>2379349560</v>
          </cell>
        </row>
      </sheetData>
      <sheetData sheetId="1">
        <row r="2">
          <cell r="B2" t="str">
            <v>PASIVOS</v>
          </cell>
          <cell r="C2" t="str">
            <v>Nota</v>
          </cell>
          <cell r="D2">
            <v>45291</v>
          </cell>
          <cell r="E2">
            <v>44926</v>
          </cell>
        </row>
        <row r="3">
          <cell r="D3" t="str">
            <v>M$</v>
          </cell>
          <cell r="E3" t="str">
            <v>M$</v>
          </cell>
        </row>
        <row r="4">
          <cell r="B4" t="str">
            <v>PASIVOS CORRIENTES</v>
          </cell>
        </row>
        <row r="5">
          <cell r="B5" t="str">
            <v xml:space="preserve">Otros pasivos financieros </v>
          </cell>
          <cell r="C5">
            <v>16</v>
          </cell>
          <cell r="D5">
            <v>155416801</v>
          </cell>
          <cell r="E5">
            <v>74347139</v>
          </cell>
        </row>
        <row r="6">
          <cell r="B6" t="str">
            <v>Pasivos por arrendamientos</v>
          </cell>
          <cell r="C6">
            <v>14</v>
          </cell>
          <cell r="D6">
            <v>1752912</v>
          </cell>
          <cell r="E6">
            <v>1394430</v>
          </cell>
        </row>
        <row r="7">
          <cell r="B7" t="str">
            <v>Cuentas por pagar comerciales y otras cuentas por pagar</v>
          </cell>
          <cell r="C7">
            <v>17</v>
          </cell>
          <cell r="D7">
            <v>177288051</v>
          </cell>
          <cell r="E7">
            <v>138331675</v>
          </cell>
        </row>
        <row r="8">
          <cell r="B8" t="str">
            <v>Cuentas por pagar a entidades relacionadas</v>
          </cell>
          <cell r="C8">
            <v>6</v>
          </cell>
          <cell r="D8">
            <v>1578553</v>
          </cell>
          <cell r="E8">
            <v>5002103</v>
          </cell>
        </row>
        <row r="9">
          <cell r="B9" t="str">
            <v>Otras provisiones</v>
          </cell>
          <cell r="C9">
            <v>18</v>
          </cell>
          <cell r="D9">
            <v>735780</v>
          </cell>
          <cell r="E9">
            <v>17987682</v>
          </cell>
        </row>
        <row r="10">
          <cell r="B10" t="str">
            <v>Pasivos por impuestos</v>
          </cell>
          <cell r="C10">
            <v>8</v>
          </cell>
          <cell r="D10">
            <v>240748</v>
          </cell>
          <cell r="E10">
            <v>4796613</v>
          </cell>
        </row>
        <row r="11">
          <cell r="B11" t="str">
            <v>Provisiones corrientes por beneficios a los empleados</v>
          </cell>
          <cell r="C11">
            <v>19</v>
          </cell>
          <cell r="D11">
            <v>5955720</v>
          </cell>
          <cell r="E11">
            <v>5665126</v>
          </cell>
        </row>
        <row r="12">
          <cell r="B12" t="str">
            <v>Otros pasivos no financieros</v>
          </cell>
          <cell r="C12">
            <v>20</v>
          </cell>
          <cell r="D12">
            <v>18699561</v>
          </cell>
          <cell r="E12">
            <v>18272379</v>
          </cell>
        </row>
        <row r="13">
          <cell r="B13" t="str">
            <v>Total de pasivos corrientes distintos de los pasivos incluidos en grupos de pasivos para su disposición clasificados como mantenidos para la venta</v>
          </cell>
          <cell r="D13">
            <v>361668126</v>
          </cell>
          <cell r="E13">
            <v>265797147</v>
          </cell>
        </row>
        <row r="14">
          <cell r="B14" t="str">
            <v>Pasivos incluidos en grupos de activos para su disposición clasificados como mantenidos para la venta</v>
          </cell>
          <cell r="D14">
            <v>0</v>
          </cell>
          <cell r="E14">
            <v>0</v>
          </cell>
        </row>
        <row r="15">
          <cell r="B15" t="str">
            <v>PASIVOS CORRIENTES TOTALES</v>
          </cell>
          <cell r="D15">
            <v>361668126</v>
          </cell>
          <cell r="E15">
            <v>265797147</v>
          </cell>
        </row>
        <row r="16">
          <cell r="B16" t="str">
            <v>PASIVOS NO CORRIENTES</v>
          </cell>
        </row>
        <row r="17">
          <cell r="B17" t="str">
            <v>Otros pasivos financieros no corrientes</v>
          </cell>
          <cell r="C17">
            <v>16</v>
          </cell>
          <cell r="D17">
            <v>1125060897</v>
          </cell>
          <cell r="E17">
            <v>1222905987</v>
          </cell>
        </row>
        <row r="18">
          <cell r="B18" t="str">
            <v>Pasivos por arrendamientos no corrientes</v>
          </cell>
          <cell r="C18">
            <v>14</v>
          </cell>
          <cell r="D18">
            <v>2762179</v>
          </cell>
          <cell r="E18">
            <v>2664313</v>
          </cell>
        </row>
        <row r="19">
          <cell r="B19" t="str">
            <v>Otras cuentas por pagar</v>
          </cell>
          <cell r="C19">
            <v>17</v>
          </cell>
          <cell r="D19">
            <v>1181870</v>
          </cell>
          <cell r="E19">
            <v>1188753</v>
          </cell>
        </row>
        <row r="20">
          <cell r="B20" t="str">
            <v>Cuentas por pagar a entidades relacionadas no corrientes</v>
          </cell>
          <cell r="D20">
            <v>0</v>
          </cell>
          <cell r="E20">
            <v>0</v>
          </cell>
        </row>
        <row r="21">
          <cell r="B21" t="str">
            <v>Otras provisiones no corrientes</v>
          </cell>
          <cell r="C21">
            <v>18</v>
          </cell>
          <cell r="D21">
            <v>1823379</v>
          </cell>
          <cell r="E21">
            <v>1735643</v>
          </cell>
        </row>
        <row r="22">
          <cell r="B22" t="str">
            <v>Pasivo por impuestos diferidos</v>
          </cell>
          <cell r="C22">
            <v>15</v>
          </cell>
          <cell r="D22">
            <v>14934780</v>
          </cell>
          <cell r="E22">
            <v>15996205</v>
          </cell>
        </row>
        <row r="23">
          <cell r="B23" t="str">
            <v>Provisiones no corrientes por beneficios a los empleados</v>
          </cell>
          <cell r="C23">
            <v>19</v>
          </cell>
          <cell r="D23">
            <v>22322555</v>
          </cell>
          <cell r="E23">
            <v>22128779</v>
          </cell>
        </row>
        <row r="24">
          <cell r="B24" t="str">
            <v>Otros pasivos no financieros no corrientes</v>
          </cell>
          <cell r="C24">
            <v>20</v>
          </cell>
          <cell r="D24">
            <v>7454645</v>
          </cell>
          <cell r="E24">
            <v>8041634</v>
          </cell>
        </row>
        <row r="25">
          <cell r="B25" t="str">
            <v>TOTAL DE PASIVOS NO CORRIENTES</v>
          </cell>
          <cell r="D25">
            <v>1175540305</v>
          </cell>
          <cell r="E25">
            <v>1274661314</v>
          </cell>
        </row>
        <row r="27">
          <cell r="B27" t="str">
            <v>TOTAL PASIVOS</v>
          </cell>
          <cell r="D27">
            <v>1537208431</v>
          </cell>
          <cell r="E27">
            <v>1540458461</v>
          </cell>
        </row>
        <row r="28">
          <cell r="B28" t="str">
            <v>PATRIMONIO</v>
          </cell>
        </row>
        <row r="29">
          <cell r="B29" t="str">
            <v>Capital Emitido</v>
          </cell>
          <cell r="C29">
            <v>21</v>
          </cell>
          <cell r="D29">
            <v>155567354</v>
          </cell>
          <cell r="E29">
            <v>155567354</v>
          </cell>
        </row>
        <row r="30">
          <cell r="B30" t="str">
            <v>Ganancias (perdidas) acumuladas</v>
          </cell>
          <cell r="C30">
            <v>21</v>
          </cell>
          <cell r="D30">
            <v>411044222</v>
          </cell>
          <cell r="E30">
            <v>368056492</v>
          </cell>
        </row>
        <row r="31">
          <cell r="B31" t="str">
            <v>Primas de emisión</v>
          </cell>
          <cell r="C31">
            <v>21</v>
          </cell>
          <cell r="D31">
            <v>164064038</v>
          </cell>
          <cell r="E31">
            <v>164064038</v>
          </cell>
        </row>
        <row r="32">
          <cell r="B32" t="str">
            <v>Otras participaciones en el patrimonio</v>
          </cell>
          <cell r="C32">
            <v>21</v>
          </cell>
          <cell r="D32">
            <v>-5965550</v>
          </cell>
          <cell r="E32">
            <v>-5965550</v>
          </cell>
        </row>
        <row r="33">
          <cell r="B33" t="str">
            <v>Otras reservas</v>
          </cell>
          <cell r="C33">
            <v>21</v>
          </cell>
          <cell r="D33">
            <v>161397766</v>
          </cell>
          <cell r="E33">
            <v>157139192</v>
          </cell>
        </row>
        <row r="34">
          <cell r="B34" t="str">
            <v>Patrimonio atribuible a los propietarios de la controladora</v>
          </cell>
          <cell r="D34">
            <v>886107830</v>
          </cell>
          <cell r="E34">
            <v>838861526</v>
          </cell>
        </row>
        <row r="35">
          <cell r="B35" t="str">
            <v>Participaciones no controladoras</v>
          </cell>
          <cell r="C35">
            <v>22</v>
          </cell>
          <cell r="D35">
            <v>31468</v>
          </cell>
          <cell r="E35">
            <v>29573</v>
          </cell>
        </row>
        <row r="36">
          <cell r="B36" t="str">
            <v xml:space="preserve">PATRIMONIO TOTAL </v>
          </cell>
          <cell r="D36">
            <v>886139298</v>
          </cell>
          <cell r="E36">
            <v>838891099</v>
          </cell>
        </row>
        <row r="38">
          <cell r="B38" t="str">
            <v>TOTAL DE PATRIMONIO Y PASIVOS</v>
          </cell>
          <cell r="D38">
            <v>2423347729</v>
          </cell>
          <cell r="E38">
            <v>2379349560</v>
          </cell>
        </row>
      </sheetData>
      <sheetData sheetId="2">
        <row r="4">
          <cell r="B4" t="str">
            <v>Ingresos de actividades ordinarias</v>
          </cell>
          <cell r="C4">
            <v>25</v>
          </cell>
          <cell r="D4">
            <v>640855854</v>
          </cell>
          <cell r="E4">
            <v>580468054</v>
          </cell>
        </row>
        <row r="5">
          <cell r="B5" t="str">
            <v>Materias primas y consumibles utilizados</v>
          </cell>
          <cell r="D5">
            <v>-85361668</v>
          </cell>
          <cell r="E5">
            <v>-79574233</v>
          </cell>
        </row>
        <row r="6">
          <cell r="B6" t="str">
            <v>Gastos por beneficios a los empleados</v>
          </cell>
          <cell r="C6">
            <v>19</v>
          </cell>
          <cell r="D6">
            <v>-76458923</v>
          </cell>
          <cell r="E6">
            <v>-66369413</v>
          </cell>
        </row>
        <row r="7">
          <cell r="B7" t="str">
            <v>Gasto por depreciación y amortización</v>
          </cell>
          <cell r="C7" t="str">
            <v>11-13-14</v>
          </cell>
          <cell r="D7">
            <v>-77689350</v>
          </cell>
          <cell r="E7">
            <v>-74811690</v>
          </cell>
        </row>
        <row r="8">
          <cell r="B8" t="str">
            <v>Otros gastos, por naturaleza</v>
          </cell>
          <cell r="C8">
            <v>26</v>
          </cell>
          <cell r="D8">
            <v>-148430974</v>
          </cell>
          <cell r="E8">
            <v>-124929936</v>
          </cell>
        </row>
        <row r="9">
          <cell r="B9" t="str">
            <v>Otras ganancias (pérdidas)</v>
          </cell>
          <cell r="C9">
            <v>27</v>
          </cell>
          <cell r="D9">
            <v>3336545</v>
          </cell>
          <cell r="E9">
            <v>-1521833</v>
          </cell>
        </row>
        <row r="10">
          <cell r="B10" t="str">
            <v>Ganancias de actividades operacionales</v>
          </cell>
          <cell r="D10">
            <v>256251484</v>
          </cell>
          <cell r="E10">
            <v>233260949</v>
          </cell>
        </row>
        <row r="11">
          <cell r="B11" t="str">
            <v>Ingresos financieros</v>
          </cell>
          <cell r="C11">
            <v>27</v>
          </cell>
          <cell r="D11">
            <v>15927907</v>
          </cell>
          <cell r="E11">
            <v>15978770</v>
          </cell>
        </row>
        <row r="12">
          <cell r="B12" t="str">
            <v>Costos financieros</v>
          </cell>
          <cell r="C12">
            <v>27</v>
          </cell>
          <cell r="D12">
            <v>-48849432</v>
          </cell>
          <cell r="E12">
            <v>-36630374</v>
          </cell>
        </row>
        <row r="13">
          <cell r="B13" t="str">
            <v>Ganancias por deterioro y reversos de pérdidas por deterioro (Pérdidas por deterioro) determinado de acuerdo con NIIF 9  sobre activos financieros</v>
          </cell>
          <cell r="C13">
            <v>24</v>
          </cell>
          <cell r="D13">
            <v>-12316346</v>
          </cell>
          <cell r="E13">
            <v>-13830357</v>
          </cell>
        </row>
        <row r="14">
          <cell r="B14" t="str">
            <v>Ganancias (pérdidas) de cambio en moneda extranjera</v>
          </cell>
          <cell r="C14">
            <v>28</v>
          </cell>
          <cell r="D14">
            <v>1945936</v>
          </cell>
          <cell r="E14">
            <v>-854215</v>
          </cell>
        </row>
        <row r="15">
          <cell r="B15" t="str">
            <v>Resultado por unidades reajustables</v>
          </cell>
          <cell r="C15">
            <v>29</v>
          </cell>
          <cell r="D15">
            <v>-45657996</v>
          </cell>
          <cell r="E15">
            <v>-115252282</v>
          </cell>
        </row>
        <row r="16">
          <cell r="B16" t="str">
            <v>Participación en las ganancias (pérdidas) de asociadas y negocion conjuntos</v>
          </cell>
          <cell r="D16">
            <v>0</v>
          </cell>
          <cell r="E16">
            <v>0</v>
          </cell>
        </row>
        <row r="17">
          <cell r="B17" t="str">
            <v>Ganancia antes de impuestos</v>
          </cell>
          <cell r="D17">
            <v>167301553</v>
          </cell>
          <cell r="E17">
            <v>82672491</v>
          </cell>
        </row>
        <row r="18">
          <cell r="B18" t="str">
            <v>Gastos por impuestos a las ganancias</v>
          </cell>
          <cell r="C18">
            <v>15</v>
          </cell>
          <cell r="D18">
            <v>-33909237</v>
          </cell>
          <cell r="E18">
            <v>2578383</v>
          </cell>
        </row>
        <row r="19">
          <cell r="B19" t="str">
            <v>Ganancia procedente de operaciones continuadas</v>
          </cell>
          <cell r="D19">
            <v>133392316</v>
          </cell>
          <cell r="E19">
            <v>85250874</v>
          </cell>
        </row>
        <row r="20">
          <cell r="B20" t="str">
            <v>Ganancia (pérdida) procedente de operaciones discontinuadas</v>
          </cell>
          <cell r="C20">
            <v>29</v>
          </cell>
          <cell r="D20">
            <v>0</v>
          </cell>
          <cell r="E20">
            <v>0</v>
          </cell>
        </row>
        <row r="22">
          <cell r="B22" t="str">
            <v>Ganancia</v>
          </cell>
          <cell r="D22">
            <v>133392316</v>
          </cell>
          <cell r="E22">
            <v>85250874</v>
          </cell>
        </row>
        <row r="23">
          <cell r="B23" t="str">
            <v>Ganancia atribuible a</v>
          </cell>
        </row>
        <row r="24">
          <cell r="B24" t="str">
            <v>Ganancia atribuible a los propietarios de la controladora</v>
          </cell>
          <cell r="D24">
            <v>133390421</v>
          </cell>
          <cell r="E24">
            <v>85248734</v>
          </cell>
        </row>
        <row r="25">
          <cell r="B25" t="str">
            <v>Ganancia, atribuible a participaciones no controladoras</v>
          </cell>
          <cell r="C25">
            <v>22</v>
          </cell>
          <cell r="D25">
            <v>1895</v>
          </cell>
          <cell r="E25">
            <v>2140</v>
          </cell>
        </row>
        <row r="26">
          <cell r="B26" t="str">
            <v xml:space="preserve">Ganancia </v>
          </cell>
          <cell r="D26">
            <v>133392316</v>
          </cell>
          <cell r="E26">
            <v>85250874</v>
          </cell>
        </row>
        <row r="27">
          <cell r="B27" t="str">
            <v xml:space="preserve">Ganancias por acción </v>
          </cell>
        </row>
        <row r="28">
          <cell r="B28" t="str">
            <v>Ganancias por acción básica en operaciones continuadas ($)</v>
          </cell>
          <cell r="C28">
            <v>31</v>
          </cell>
          <cell r="D28">
            <v>21.8</v>
          </cell>
          <cell r="E28">
            <v>13.932</v>
          </cell>
        </row>
        <row r="29">
          <cell r="B29" t="str">
            <v>Ganancias por acción básica ($)</v>
          </cell>
          <cell r="D29">
            <v>21.8</v>
          </cell>
          <cell r="E29">
            <v>13.932</v>
          </cell>
        </row>
      </sheetData>
      <sheetData sheetId="3">
        <row r="3">
          <cell r="B3" t="str">
            <v>Estado de Flujo de efectivo directo</v>
          </cell>
          <cell r="C3" t="str">
            <v>Nota</v>
          </cell>
          <cell r="D3">
            <v>45291</v>
          </cell>
          <cell r="E3">
            <v>44926</v>
          </cell>
        </row>
        <row r="4">
          <cell r="D4" t="str">
            <v>M$</v>
          </cell>
          <cell r="E4" t="str">
            <v>M$</v>
          </cell>
        </row>
        <row r="5">
          <cell r="B5" t="str">
            <v>Cobros procedentes de las ventas de bienes y prestación de servicios</v>
          </cell>
          <cell r="D5">
            <v>735405398</v>
          </cell>
          <cell r="E5">
            <v>651478729</v>
          </cell>
        </row>
        <row r="6">
          <cell r="B6" t="str">
            <v>Cobros procedentes de regalías, cuotas, comisiones y otros ingresos de actividades ordinarias</v>
          </cell>
          <cell r="D6">
            <v>0</v>
          </cell>
          <cell r="E6">
            <v>0</v>
          </cell>
        </row>
        <row r="7">
          <cell r="B7" t="str">
            <v>Cobros procedentes de contratos mantenidos con propósitos de intermediación o para negociar</v>
          </cell>
          <cell r="D7">
            <v>0</v>
          </cell>
          <cell r="E7">
            <v>0</v>
          </cell>
        </row>
        <row r="8">
          <cell r="B8" t="str">
            <v>Cobros procedentes de primas y prestaciones, anualidades y otros beneficios de pólizas suscritas</v>
          </cell>
          <cell r="D8">
            <v>0</v>
          </cell>
          <cell r="E8">
            <v>0</v>
          </cell>
        </row>
        <row r="9">
          <cell r="B9" t="str">
            <v>Otros cobros por actividades de operación</v>
          </cell>
          <cell r="D9">
            <v>4052259</v>
          </cell>
          <cell r="E9">
            <v>5324429</v>
          </cell>
        </row>
        <row r="10">
          <cell r="B10" t="str">
            <v xml:space="preserve">Clases de cobros por actividades de operación </v>
          </cell>
          <cell r="D10">
            <v>739457657</v>
          </cell>
          <cell r="E10">
            <v>656803158</v>
          </cell>
        </row>
        <row r="11">
          <cell r="B11" t="str">
            <v>Pagos a proveedores por el suministro de bienes y servicios</v>
          </cell>
          <cell r="D11">
            <v>-272674204</v>
          </cell>
          <cell r="E11">
            <v>-236712721</v>
          </cell>
        </row>
        <row r="12">
          <cell r="B12" t="str">
            <v>Pagos procedentes de contratos mantenidos para intermediación o para negociar</v>
          </cell>
          <cell r="D12">
            <v>0</v>
          </cell>
          <cell r="E12">
            <v>0</v>
          </cell>
        </row>
        <row r="13">
          <cell r="B13" t="str">
            <v>Pagos a y por cuenta de los empleados</v>
          </cell>
          <cell r="D13">
            <v>-80236579</v>
          </cell>
          <cell r="E13">
            <v>-66459337</v>
          </cell>
        </row>
        <row r="14">
          <cell r="B14" t="str">
            <v>Pagos por primas y prestaciones, anualidades y otras obligaciones derivadas de las pólizas suscritas</v>
          </cell>
          <cell r="D14">
            <v>-8600442</v>
          </cell>
          <cell r="E14">
            <v>-5934028</v>
          </cell>
        </row>
        <row r="15">
          <cell r="B15" t="str">
            <v>Otros pagos por actividades de operación</v>
          </cell>
          <cell r="D15">
            <v>-50563071</v>
          </cell>
          <cell r="E15">
            <v>-47217815</v>
          </cell>
        </row>
        <row r="16">
          <cell r="B16" t="str">
            <v>Clases de pagos en efectivo procedentes de actividades de operación</v>
          </cell>
          <cell r="D16">
            <v>-412074296</v>
          </cell>
          <cell r="E16">
            <v>-356323901</v>
          </cell>
        </row>
        <row r="17">
          <cell r="B17" t="str">
            <v>Dividendos pagados - actividades de operación</v>
          </cell>
          <cell r="D17">
            <v>0</v>
          </cell>
          <cell r="E17">
            <v>0</v>
          </cell>
        </row>
        <row r="18">
          <cell r="B18" t="str">
            <v>Dividendos recibidos - actividades de operación</v>
          </cell>
          <cell r="D18">
            <v>0</v>
          </cell>
          <cell r="E18">
            <v>0</v>
          </cell>
        </row>
        <row r="19">
          <cell r="B19" t="str">
            <v>Intereses pagados - actividades de operación</v>
          </cell>
          <cell r="D19">
            <v>-48001819</v>
          </cell>
          <cell r="E19">
            <v>-36611956</v>
          </cell>
        </row>
        <row r="20">
          <cell r="B20" t="str">
            <v>Intereses recibidos - actividades de operación</v>
          </cell>
          <cell r="D20">
            <v>16092060</v>
          </cell>
          <cell r="E20">
            <v>12776309</v>
          </cell>
        </row>
        <row r="21">
          <cell r="B21" t="str">
            <v xml:space="preserve">Impuestos a las ganancias (pagados) </v>
          </cell>
          <cell r="D21">
            <v>-53505003</v>
          </cell>
          <cell r="E21">
            <v>-30087796</v>
          </cell>
        </row>
        <row r="22">
          <cell r="B22" t="str">
            <v>Otras entradas (salidas) de efectivo - actividades de operación</v>
          </cell>
          <cell r="D22">
            <v>-12571148</v>
          </cell>
          <cell r="E22">
            <v>-3652574</v>
          </cell>
        </row>
        <row r="23">
          <cell r="B23" t="str">
            <v xml:space="preserve">Flujos de efectivo procedente utilizados en operación </v>
          </cell>
          <cell r="D23">
            <v>-97985910</v>
          </cell>
          <cell r="E23">
            <v>-57576017</v>
          </cell>
        </row>
        <row r="24">
          <cell r="B24" t="str">
            <v>Flujos de efectivo procedentes de (utilizados en) actividades de operación</v>
          </cell>
          <cell r="D24">
            <v>229397451</v>
          </cell>
          <cell r="E24">
            <v>242903240</v>
          </cell>
        </row>
        <row r="25">
          <cell r="B25" t="str">
            <v>Flujos de efectivo procedentes de la pérdida de control de subsidiarias u otros negocios</v>
          </cell>
          <cell r="D25">
            <v>0</v>
          </cell>
          <cell r="E25">
            <v>0</v>
          </cell>
        </row>
        <row r="26">
          <cell r="B26" t="str">
            <v>Flujos de efectivo utilizados para obtener el control de subsidiarias u otros negocios</v>
          </cell>
          <cell r="D26">
            <v>0</v>
          </cell>
          <cell r="E26">
            <v>0</v>
          </cell>
        </row>
        <row r="27">
          <cell r="B27" t="str">
            <v>Flujos de efectivo utilizados en la compra de participaciones no controladoras</v>
          </cell>
          <cell r="D27">
            <v>0</v>
          </cell>
          <cell r="E27">
            <v>0</v>
          </cell>
        </row>
        <row r="28">
          <cell r="B28" t="str">
            <v>Otros cobros por la venta de patrimonio o instrumentos de deuda de otras entidades</v>
          </cell>
          <cell r="D28">
            <v>0</v>
          </cell>
          <cell r="E28">
            <v>0</v>
          </cell>
        </row>
        <row r="29">
          <cell r="B29" t="str">
            <v>Otros pagos para adquirir patrimonio o instrumentos de deuda de otras entidades</v>
          </cell>
          <cell r="D29">
            <v>0</v>
          </cell>
          <cell r="E29">
            <v>0</v>
          </cell>
        </row>
        <row r="30">
          <cell r="B30" t="str">
            <v>Otros cobros por la venta de participaciones en negocios conjuntos</v>
          </cell>
          <cell r="D30">
            <v>0</v>
          </cell>
          <cell r="E30">
            <v>0</v>
          </cell>
        </row>
        <row r="31">
          <cell r="B31" t="str">
            <v>Otros pagos para adquirir participaciones en negocios conjuntos</v>
          </cell>
          <cell r="D31">
            <v>0</v>
          </cell>
          <cell r="E31">
            <v>0</v>
          </cell>
        </row>
        <row r="32">
          <cell r="B32" t="str">
            <v>Préstamos a entidades relacionadas</v>
          </cell>
          <cell r="D32">
            <v>0</v>
          </cell>
          <cell r="E32">
            <v>0</v>
          </cell>
        </row>
        <row r="33">
          <cell r="B33" t="str">
            <v>Importes procedentes de ventas de propiedades, planta y equipo</v>
          </cell>
          <cell r="D33">
            <v>5001192</v>
          </cell>
          <cell r="E33">
            <v>646541</v>
          </cell>
        </row>
        <row r="34">
          <cell r="B34" t="str">
            <v>Compras de propiedades, planta y equipo</v>
          </cell>
          <cell r="D34">
            <v>-149645668</v>
          </cell>
          <cell r="E34">
            <v>-161366864</v>
          </cell>
        </row>
        <row r="35">
          <cell r="B35" t="str">
            <v>Importes procedentes de ventas de activos intangibles</v>
          </cell>
          <cell r="D35">
            <v>0</v>
          </cell>
          <cell r="E35">
            <v>0</v>
          </cell>
        </row>
        <row r="36">
          <cell r="B36" t="str">
            <v>Compras de activos intangibles</v>
          </cell>
          <cell r="D36">
            <v>-4494138</v>
          </cell>
          <cell r="E36">
            <v>-5180385</v>
          </cell>
        </row>
        <row r="37">
          <cell r="B37" t="str">
            <v>Recursos por ventas de otros activos a largo plazo</v>
          </cell>
          <cell r="D37">
            <v>0</v>
          </cell>
          <cell r="E37">
            <v>0</v>
          </cell>
        </row>
        <row r="38">
          <cell r="B38" t="str">
            <v>Compras de otros activos a largo plazo</v>
          </cell>
          <cell r="D38">
            <v>0</v>
          </cell>
          <cell r="E38">
            <v>0</v>
          </cell>
        </row>
        <row r="39">
          <cell r="B39" t="str">
            <v>Importes procedentes de subvenciones del gobierno - inversión</v>
          </cell>
          <cell r="D39">
            <v>0</v>
          </cell>
          <cell r="E39">
            <v>0</v>
          </cell>
        </row>
        <row r="40">
          <cell r="B40" t="str">
            <v>Anticipos de efectivo y préstamos concedidos a terceros</v>
          </cell>
          <cell r="D40">
            <v>0</v>
          </cell>
          <cell r="E40">
            <v>0</v>
          </cell>
        </row>
        <row r="41">
          <cell r="B41" t="str">
            <v>Cobros procedentes del reembolso de anticipos y préstamos concedidos a terceros</v>
          </cell>
          <cell r="D41">
            <v>0</v>
          </cell>
          <cell r="E41">
            <v>0</v>
          </cell>
        </row>
        <row r="42">
          <cell r="B42" t="str">
            <v>Pagos derivados de contratos de futuro, a término, de opciones y de permuta financiera</v>
          </cell>
          <cell r="D42">
            <v>0</v>
          </cell>
          <cell r="E42">
            <v>0</v>
          </cell>
        </row>
        <row r="43">
          <cell r="B43" t="str">
            <v>Cobros procedentes de contratos de futuro, a término, de opciones y de permuta financiera</v>
          </cell>
          <cell r="D43">
            <v>0</v>
          </cell>
          <cell r="E43">
            <v>0</v>
          </cell>
        </row>
        <row r="44">
          <cell r="B44" t="str">
            <v>Cobros a entidades relacionadas</v>
          </cell>
          <cell r="D44">
            <v>0</v>
          </cell>
          <cell r="E44">
            <v>0</v>
          </cell>
        </row>
        <row r="45">
          <cell r="B45" t="str">
            <v>Dividendos recibidos</v>
          </cell>
          <cell r="D45">
            <v>0</v>
          </cell>
          <cell r="E45">
            <v>0</v>
          </cell>
        </row>
        <row r="46">
          <cell r="B46" t="str">
            <v>Intereses recibidos</v>
          </cell>
          <cell r="D46">
            <v>0</v>
          </cell>
          <cell r="E46">
            <v>0</v>
          </cell>
        </row>
        <row r="47">
          <cell r="B47" t="str">
            <v>Impuestos a las ganancias reembolsados (pagados) - inversión</v>
          </cell>
          <cell r="D47">
            <v>0</v>
          </cell>
          <cell r="E47">
            <v>0</v>
          </cell>
        </row>
        <row r="48">
          <cell r="B48" t="str">
            <v>Otras entradas (salidas) de efectivo - inversión</v>
          </cell>
          <cell r="D48">
            <v>-861870</v>
          </cell>
          <cell r="E48">
            <v>0</v>
          </cell>
        </row>
        <row r="49">
          <cell r="B49" t="str">
            <v>Flujos de efectivo procedentes de (utilizados en) actividades de inversión</v>
          </cell>
          <cell r="D49">
            <v>-150000484</v>
          </cell>
          <cell r="E49">
            <v>-165900708</v>
          </cell>
        </row>
        <row r="50">
          <cell r="B50" t="str">
            <v>Importes procedentes de la emisión de acciones</v>
          </cell>
          <cell r="D50">
            <v>0</v>
          </cell>
          <cell r="E50">
            <v>0</v>
          </cell>
        </row>
        <row r="51">
          <cell r="B51" t="str">
            <v>Importes procedentes de la emisión de otros instrumentos de patrimonio</v>
          </cell>
          <cell r="D51">
            <v>0</v>
          </cell>
          <cell r="E51">
            <v>0</v>
          </cell>
        </row>
        <row r="52">
          <cell r="B52" t="str">
            <v>Pagos por adquirir o rescatar las acciones de la entidad</v>
          </cell>
          <cell r="D52">
            <v>0</v>
          </cell>
          <cell r="E52">
            <v>0</v>
          </cell>
        </row>
        <row r="53">
          <cell r="B53" t="str">
            <v>Pagos por otras participaciones en el patrimonio</v>
          </cell>
          <cell r="D53">
            <v>0</v>
          </cell>
          <cell r="E53">
            <v>0</v>
          </cell>
        </row>
        <row r="54">
          <cell r="B54" t="str">
            <v>Importes procedentes de préstamos de largo plazo</v>
          </cell>
          <cell r="D54">
            <v>11415588</v>
          </cell>
          <cell r="E54">
            <v>58736661</v>
          </cell>
        </row>
        <row r="55">
          <cell r="B55" t="str">
            <v>Importes procedentes de préstamos de corto plazo</v>
          </cell>
          <cell r="D55">
            <v>0</v>
          </cell>
          <cell r="E55">
            <v>30000000</v>
          </cell>
        </row>
        <row r="56">
          <cell r="B56" t="str">
            <v>Importes procedentes de préstamos, clasificados como actividades de financiación</v>
          </cell>
          <cell r="D56">
            <v>11415588</v>
          </cell>
          <cell r="E56">
            <v>88736661</v>
          </cell>
        </row>
        <row r="57">
          <cell r="B57" t="str">
            <v>Préstamos de entidades relacionadas</v>
          </cell>
          <cell r="D57">
            <v>0</v>
          </cell>
          <cell r="E57">
            <v>0</v>
          </cell>
        </row>
        <row r="58">
          <cell r="B58" t="str">
            <v>Reembolsos de préstamos</v>
          </cell>
          <cell r="D58">
            <v>-70379714</v>
          </cell>
          <cell r="E58">
            <v>-73747050</v>
          </cell>
        </row>
        <row r="59">
          <cell r="B59" t="str">
            <v>Pagos de pasivos por arrendamientos financieros</v>
          </cell>
          <cell r="D59">
            <v>0</v>
          </cell>
          <cell r="E59">
            <v>0</v>
          </cell>
        </row>
        <row r="60">
          <cell r="B60" t="str">
            <v>Pagos de préstamos a entidades relacionadas</v>
          </cell>
          <cell r="D60">
            <v>0</v>
          </cell>
          <cell r="E60">
            <v>0</v>
          </cell>
        </row>
        <row r="61">
          <cell r="B61" t="str">
            <v>Importes procedentes de subvenciones del gobierno</v>
          </cell>
          <cell r="D61">
            <v>0</v>
          </cell>
          <cell r="E61">
            <v>0</v>
          </cell>
        </row>
        <row r="62">
          <cell r="B62" t="str">
            <v>Dividendos pagados</v>
          </cell>
          <cell r="D62">
            <v>-90611501</v>
          </cell>
          <cell r="E62">
            <v>-76170116</v>
          </cell>
        </row>
        <row r="63">
          <cell r="B63" t="str">
            <v>Intereses pagados</v>
          </cell>
          <cell r="D63">
            <v>0</v>
          </cell>
          <cell r="E63">
            <v>0</v>
          </cell>
        </row>
        <row r="64">
          <cell r="B64" t="str">
            <v>Impuestos a las ganancias reembolsados (pagados)</v>
          </cell>
          <cell r="D64">
            <v>0</v>
          </cell>
          <cell r="E64">
            <v>0</v>
          </cell>
        </row>
        <row r="65">
          <cell r="B65" t="str">
            <v>Otras entradas (salidas) de efectivo</v>
          </cell>
          <cell r="D65">
            <v>0</v>
          </cell>
          <cell r="E65">
            <v>0</v>
          </cell>
        </row>
        <row r="66">
          <cell r="B66" t="str">
            <v xml:space="preserve"> Flujos de efectivo procedentes de (utilizados en) actividades de financiación</v>
          </cell>
          <cell r="D66">
            <v>-149575627</v>
          </cell>
          <cell r="E66">
            <v>-61180505</v>
          </cell>
        </row>
        <row r="67">
          <cell r="B67" t="str">
            <v xml:space="preserve"> Incremento (disminución) en el efectivo y equivalentes al efectivo, antes del efecto de los cambios en la tasa de cambio </v>
          </cell>
          <cell r="D67">
            <v>-70178660</v>
          </cell>
          <cell r="E67">
            <v>15822027</v>
          </cell>
        </row>
        <row r="68">
          <cell r="B68" t="str">
            <v>Efectos de la variación en la tasa de cambio sobre el efectivo y equivalentes al efectivo.</v>
          </cell>
        </row>
        <row r="69">
          <cell r="B69" t="str">
            <v>Efectos de la variación en la tasa de cambio sobre el efectivo y equivalentes al efectivo</v>
          </cell>
          <cell r="D69">
            <v>0</v>
          </cell>
        </row>
        <row r="70">
          <cell r="B70" t="str">
            <v>Incremento (disminución) neto de efectivo y equivalentes al efectivo</v>
          </cell>
          <cell r="D70">
            <v>-70178660</v>
          </cell>
          <cell r="E70">
            <v>15822027</v>
          </cell>
        </row>
        <row r="71">
          <cell r="B71" t="str">
            <v>Efectivo y equivalentes al efectivo al principio del periodo</v>
          </cell>
          <cell r="D71">
            <v>179335341</v>
          </cell>
          <cell r="E71">
            <v>163513314</v>
          </cell>
        </row>
        <row r="72">
          <cell r="B72" t="str">
            <v>Efectivo y equivalentes al efectivo al final del periodo</v>
          </cell>
          <cell r="C72">
            <v>4</v>
          </cell>
          <cell r="D72">
            <v>109156681</v>
          </cell>
          <cell r="E72">
            <v>179335341</v>
          </cell>
        </row>
        <row r="74">
          <cell r="D74">
            <v>0</v>
          </cell>
          <cell r="E74">
            <v>0</v>
          </cell>
        </row>
        <row r="75">
          <cell r="E75">
            <v>179335341</v>
          </cell>
        </row>
        <row r="77">
          <cell r="B77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92D050"/>
    <pageSetUpPr fitToPage="1"/>
  </sheetPr>
  <dimension ref="A1:V204"/>
  <sheetViews>
    <sheetView showGridLines="0" topLeftCell="C38" workbookViewId="0">
      <selection activeCell="J39" sqref="J39"/>
    </sheetView>
  </sheetViews>
  <sheetFormatPr baseColWidth="10" defaultColWidth="11.44140625" defaultRowHeight="15" customHeight="1"/>
  <cols>
    <col min="1" max="1" width="3.88671875" style="140" customWidth="1"/>
    <col min="2" max="2" width="51.109375" style="140" customWidth="1"/>
    <col min="3" max="3" width="16.33203125" style="140" customWidth="1"/>
    <col min="4" max="4" width="18.88671875" style="140" bestFit="1" customWidth="1"/>
    <col min="5" max="5" width="18.5546875" style="140" bestFit="1" customWidth="1"/>
    <col min="6" max="6" width="16.6640625" style="140" customWidth="1"/>
    <col min="7" max="7" width="4.5546875" style="140" customWidth="1"/>
    <col min="8" max="8" width="31.5546875" style="140" customWidth="1"/>
    <col min="9" max="9" width="7.109375" style="140" customWidth="1"/>
    <col min="10" max="10" width="21" style="140" bestFit="1" customWidth="1"/>
    <col min="11" max="11" width="11.109375" style="140" customWidth="1"/>
    <col min="12" max="12" width="17.88671875" style="140" customWidth="1"/>
    <col min="13" max="13" width="11.109375" style="140" customWidth="1"/>
    <col min="14" max="14" width="1.6640625" style="140" customWidth="1"/>
    <col min="15" max="15" width="10.6640625" style="140" customWidth="1"/>
    <col min="16" max="16" width="11.6640625" style="141" customWidth="1"/>
    <col min="17" max="17" width="10.6640625" style="140" bestFit="1" customWidth="1"/>
    <col min="18" max="18" width="11.88671875" style="140" bestFit="1" customWidth="1"/>
    <col min="19" max="16384" width="11.44140625" style="140"/>
  </cols>
  <sheetData>
    <row r="1" spans="2:22" ht="15" customHeight="1">
      <c r="B1" s="139" t="s">
        <v>180</v>
      </c>
    </row>
    <row r="2" spans="2:22" ht="15" customHeight="1">
      <c r="B2" s="139" t="s">
        <v>179</v>
      </c>
      <c r="K2" s="144"/>
      <c r="T2" s="142"/>
    </row>
    <row r="3" spans="2:22" ht="15" customHeight="1" thickBot="1">
      <c r="H3" s="143" t="s">
        <v>4</v>
      </c>
      <c r="J3" s="144"/>
      <c r="K3" s="144"/>
      <c r="L3" s="144"/>
      <c r="R3" s="145"/>
    </row>
    <row r="4" spans="2:22" ht="15" customHeight="1" thickBot="1">
      <c r="B4" s="146" t="s">
        <v>6</v>
      </c>
      <c r="C4" s="147"/>
      <c r="D4" s="148" t="s">
        <v>375</v>
      </c>
      <c r="E4" s="148" t="s">
        <v>346</v>
      </c>
      <c r="F4" s="148" t="s">
        <v>328</v>
      </c>
      <c r="H4" s="139" t="s">
        <v>5</v>
      </c>
      <c r="J4" s="149" t="str">
        <f>+D4</f>
        <v>Dic-23</v>
      </c>
      <c r="L4" s="149" t="str">
        <f>+E4</f>
        <v>Dic-22</v>
      </c>
      <c r="O4" s="150"/>
      <c r="R4" s="151"/>
      <c r="S4" s="151"/>
      <c r="T4" s="152"/>
      <c r="U4" s="151"/>
      <c r="V4" s="151"/>
    </row>
    <row r="5" spans="2:22" ht="15" customHeight="1" thickBot="1">
      <c r="B5" s="153"/>
      <c r="C5" s="154"/>
      <c r="D5" s="154"/>
      <c r="E5" s="155"/>
      <c r="F5" s="156"/>
      <c r="H5" s="157" t="s">
        <v>7</v>
      </c>
      <c r="J5" s="144"/>
      <c r="K5" s="144"/>
      <c r="M5" s="144"/>
      <c r="P5" s="158"/>
    </row>
    <row r="6" spans="2:22" ht="15" customHeight="1">
      <c r="B6" s="159" t="s">
        <v>47</v>
      </c>
      <c r="C6" s="160" t="s">
        <v>8</v>
      </c>
      <c r="D6" s="161">
        <f>+Balance!D15</f>
        <v>275004410</v>
      </c>
      <c r="E6" s="162">
        <f>+Balance!E15</f>
        <v>324838124</v>
      </c>
      <c r="F6" s="163">
        <f>+[6]cálculos!$D$6</f>
        <v>283854689</v>
      </c>
      <c r="H6" s="139" t="s">
        <v>9</v>
      </c>
      <c r="J6" s="144"/>
      <c r="K6" s="144"/>
      <c r="M6" s="144"/>
      <c r="O6" s="164"/>
    </row>
    <row r="7" spans="2:22" ht="15" customHeight="1">
      <c r="B7" s="159" t="s">
        <v>48</v>
      </c>
      <c r="C7" s="160" t="s">
        <v>8</v>
      </c>
      <c r="D7" s="161">
        <f>+Balance!D26</f>
        <v>2148343319</v>
      </c>
      <c r="E7" s="162">
        <f>+Balance!E26</f>
        <v>2054511436</v>
      </c>
      <c r="F7" s="163">
        <f>+[6]cálculos!$D$7</f>
        <v>1945366921</v>
      </c>
      <c r="H7" s="165" t="s">
        <v>45</v>
      </c>
      <c r="I7" s="140" t="s">
        <v>10</v>
      </c>
      <c r="J7" s="166">
        <f>+D6</f>
        <v>275004410</v>
      </c>
      <c r="K7" s="167">
        <f>ROUND(J7/J8,2)</f>
        <v>0.76</v>
      </c>
      <c r="L7" s="166">
        <f>+E6</f>
        <v>324838124</v>
      </c>
      <c r="M7" s="167">
        <f>ROUND(L7/L8,2)</f>
        <v>1.22</v>
      </c>
      <c r="N7" s="168"/>
      <c r="O7" s="169">
        <f>ROUND((K7/M7)-1,3)</f>
        <v>-0.377</v>
      </c>
      <c r="P7" s="170">
        <f>ROUND((J7/L7)-1,3)</f>
        <v>-0.153</v>
      </c>
      <c r="Q7" s="144">
        <f>+J7-L7</f>
        <v>-49833714</v>
      </c>
    </row>
    <row r="8" spans="2:22" ht="15" customHeight="1">
      <c r="B8" s="171" t="s">
        <v>11</v>
      </c>
      <c r="C8" s="172"/>
      <c r="D8" s="173">
        <f>SUM(D6:D7)</f>
        <v>2423347729</v>
      </c>
      <c r="E8" s="174">
        <f>SUM(E6:E7)</f>
        <v>2379349560</v>
      </c>
      <c r="F8" s="175">
        <f>SUM(F6:F7)</f>
        <v>2229221610</v>
      </c>
      <c r="H8" s="140" t="s">
        <v>46</v>
      </c>
      <c r="J8" s="144">
        <f>+D10</f>
        <v>361668126</v>
      </c>
      <c r="K8" s="144"/>
      <c r="L8" s="144">
        <f>+E10</f>
        <v>265797147</v>
      </c>
      <c r="M8" s="144"/>
      <c r="O8" s="176"/>
      <c r="P8" s="170">
        <f>ROUND((J8/L8)-1,3)</f>
        <v>0.36099999999999999</v>
      </c>
      <c r="Q8" s="144">
        <f>+J8-L8</f>
        <v>95870979</v>
      </c>
    </row>
    <row r="9" spans="2:22" ht="15" customHeight="1">
      <c r="B9" s="159"/>
      <c r="C9" s="154"/>
      <c r="D9" s="161"/>
      <c r="E9" s="162"/>
      <c r="F9" s="163"/>
      <c r="H9" s="139" t="s">
        <v>12</v>
      </c>
      <c r="J9" s="144"/>
      <c r="K9" s="144"/>
      <c r="L9" s="144"/>
      <c r="M9" s="144"/>
      <c r="O9" s="177"/>
    </row>
    <row r="10" spans="2:22" ht="15" customHeight="1">
      <c r="B10" s="159" t="s">
        <v>50</v>
      </c>
      <c r="C10" s="160" t="s">
        <v>8</v>
      </c>
      <c r="D10" s="161">
        <f>+Balance!D44</f>
        <v>361668126</v>
      </c>
      <c r="E10" s="162">
        <f>+Balance!E44</f>
        <v>265797147</v>
      </c>
      <c r="F10" s="163">
        <f>+[6]cálculos!$D$10</f>
        <v>248642211</v>
      </c>
      <c r="H10" s="165" t="s">
        <v>55</v>
      </c>
      <c r="I10" s="140" t="s">
        <v>10</v>
      </c>
      <c r="J10" s="166">
        <f>+D33</f>
        <v>109156681</v>
      </c>
      <c r="K10" s="167">
        <f>ROUND(J10/J11,2)</f>
        <v>0.3</v>
      </c>
      <c r="L10" s="166">
        <f>+Balance!E6</f>
        <v>179335341</v>
      </c>
      <c r="M10" s="167">
        <f>ROUND(L10/L11,2)</f>
        <v>0.67</v>
      </c>
      <c r="N10" s="168"/>
      <c r="O10" s="169">
        <f>ROUND((K10/M10)-1,4)</f>
        <v>-0.55220000000000002</v>
      </c>
      <c r="P10" s="170">
        <f>ROUND((J10/L10)-1,3)</f>
        <v>-0.39100000000000001</v>
      </c>
      <c r="Q10" s="144">
        <f>+J10-L10</f>
        <v>-70178660</v>
      </c>
      <c r="R10" s="178"/>
    </row>
    <row r="11" spans="2:22" ht="15" customHeight="1" thickBot="1">
      <c r="B11" s="159" t="s">
        <v>49</v>
      </c>
      <c r="C11" s="160" t="s">
        <v>8</v>
      </c>
      <c r="D11" s="161">
        <f>+Balance!D54</f>
        <v>1175540305</v>
      </c>
      <c r="E11" s="162">
        <f>+Balance!E54</f>
        <v>1274661314</v>
      </c>
      <c r="F11" s="163">
        <f>+[6]cálculos!$D$11</f>
        <v>1138031686</v>
      </c>
      <c r="H11" s="140" t="s">
        <v>46</v>
      </c>
      <c r="J11" s="144">
        <f>+D10</f>
        <v>361668126</v>
      </c>
      <c r="K11" s="144"/>
      <c r="L11" s="144">
        <f>+E10</f>
        <v>265797147</v>
      </c>
      <c r="M11" s="144"/>
      <c r="O11" s="176"/>
      <c r="P11" s="170">
        <f>ROUND((J11/L11)-1,3)</f>
        <v>0.36099999999999999</v>
      </c>
      <c r="Q11" s="144">
        <f>+J11-L11</f>
        <v>95870979</v>
      </c>
    </row>
    <row r="12" spans="2:22" ht="15" customHeight="1" thickBot="1">
      <c r="B12" s="159" t="s">
        <v>51</v>
      </c>
      <c r="C12" s="160" t="s">
        <v>8</v>
      </c>
      <c r="D12" s="161">
        <f>+Balance!D64</f>
        <v>31468</v>
      </c>
      <c r="E12" s="162">
        <f>+Balance!E64</f>
        <v>29573</v>
      </c>
      <c r="F12" s="163">
        <f>+[6]cálculos!$D$12</f>
        <v>27498</v>
      </c>
      <c r="H12" s="157" t="s">
        <v>13</v>
      </c>
      <c r="J12" s="144"/>
      <c r="K12" s="144"/>
      <c r="L12" s="144"/>
      <c r="M12" s="144"/>
      <c r="O12" s="176"/>
    </row>
    <row r="13" spans="2:22" ht="15" customHeight="1">
      <c r="B13" s="159" t="s">
        <v>98</v>
      </c>
      <c r="C13" s="160" t="s">
        <v>8</v>
      </c>
      <c r="D13" s="161">
        <f>+Balance!D63</f>
        <v>886107830</v>
      </c>
      <c r="E13" s="162">
        <f>+Balance!E63</f>
        <v>838861526</v>
      </c>
      <c r="F13" s="163">
        <f>+[6]cálculos!$D$13</f>
        <v>842520215</v>
      </c>
      <c r="H13" s="139" t="s">
        <v>14</v>
      </c>
      <c r="J13" s="144"/>
      <c r="K13" s="144"/>
      <c r="L13" s="144"/>
      <c r="M13" s="144"/>
      <c r="O13" s="176"/>
    </row>
    <row r="14" spans="2:22" ht="15" customHeight="1" thickBot="1">
      <c r="B14" s="179" t="s">
        <v>11</v>
      </c>
      <c r="C14" s="180"/>
      <c r="D14" s="181">
        <f>SUM(D10:D13)</f>
        <v>2423347729</v>
      </c>
      <c r="E14" s="182">
        <f>SUM(E10:E13)</f>
        <v>2379349560</v>
      </c>
      <c r="F14" s="183">
        <f>SUM(F10:F13)</f>
        <v>2229221610</v>
      </c>
      <c r="H14" s="165" t="s">
        <v>15</v>
      </c>
      <c r="I14" s="140" t="s">
        <v>10</v>
      </c>
      <c r="J14" s="166">
        <f>+D10+D11</f>
        <v>1537208431</v>
      </c>
      <c r="K14" s="184">
        <f>ROUND(J14/J15,2)</f>
        <v>1.73</v>
      </c>
      <c r="L14" s="166">
        <f>+E10+E11</f>
        <v>1540458461</v>
      </c>
      <c r="M14" s="184">
        <f>ROUND(L14/L15,2)</f>
        <v>1.84</v>
      </c>
      <c r="N14" s="185"/>
      <c r="O14" s="169">
        <f>ROUND((K14/M14)-1,4)</f>
        <v>-5.9799999999999999E-2</v>
      </c>
      <c r="P14" s="170">
        <f>ROUND((J14/L14)-1,3)</f>
        <v>-2E-3</v>
      </c>
      <c r="Q14" s="144">
        <f>+J14-L14</f>
        <v>-3250030</v>
      </c>
    </row>
    <row r="15" spans="2:22" ht="15" customHeight="1" thickBot="1">
      <c r="B15" s="186"/>
      <c r="D15" s="187">
        <f>+D8-D14</f>
        <v>0</v>
      </c>
      <c r="E15" s="187">
        <f t="shared" ref="E15:F15" si="0">+E8-E14</f>
        <v>0</v>
      </c>
      <c r="F15" s="187">
        <f t="shared" si="0"/>
        <v>0</v>
      </c>
      <c r="H15" s="140" t="s">
        <v>96</v>
      </c>
      <c r="J15" s="144">
        <f>+D13+D12</f>
        <v>886139298</v>
      </c>
      <c r="K15" s="144"/>
      <c r="L15" s="144">
        <f>+E13+E12</f>
        <v>838891099</v>
      </c>
      <c r="M15" s="144"/>
      <c r="O15" s="176"/>
      <c r="P15" s="170">
        <f>ROUND((J15/L15)-1,3)</f>
        <v>5.6000000000000001E-2</v>
      </c>
      <c r="Q15" s="144">
        <f>+J15-L15</f>
        <v>47248199</v>
      </c>
    </row>
    <row r="16" spans="2:22" ht="15" customHeight="1">
      <c r="B16" s="146" t="s">
        <v>16</v>
      </c>
      <c r="C16" s="147"/>
      <c r="D16" s="188" t="str">
        <f>+$D$4</f>
        <v>Dic-23</v>
      </c>
      <c r="E16" s="188" t="str">
        <f>+$E$4</f>
        <v>Dic-22</v>
      </c>
      <c r="F16" s="188" t="str">
        <f>+E16</f>
        <v>Dic-22</v>
      </c>
      <c r="H16" s="139" t="s">
        <v>17</v>
      </c>
      <c r="J16" s="144"/>
      <c r="K16" s="144"/>
      <c r="L16" s="144"/>
      <c r="M16" s="144"/>
      <c r="O16" s="164"/>
    </row>
    <row r="17" spans="1:20" ht="15" customHeight="1">
      <c r="B17" s="153"/>
      <c r="C17" s="189"/>
      <c r="D17" s="190"/>
      <c r="E17" s="190"/>
      <c r="F17" s="191"/>
      <c r="H17" s="192" t="s">
        <v>46</v>
      </c>
      <c r="I17" s="140" t="s">
        <v>10</v>
      </c>
      <c r="J17" s="166">
        <f>+D10</f>
        <v>361668126</v>
      </c>
      <c r="K17" s="184">
        <f>ROUND(J17/J18,4)</f>
        <v>0.23530000000000001</v>
      </c>
      <c r="L17" s="166">
        <f>+E10</f>
        <v>265797147</v>
      </c>
      <c r="M17" s="184">
        <f>ROUND(L17/L18,4)</f>
        <v>0.17249999999999999</v>
      </c>
      <c r="N17" s="185"/>
      <c r="O17" s="169">
        <f>ROUND((K17/M17)-1,4)</f>
        <v>0.36409999999999998</v>
      </c>
      <c r="P17" s="170">
        <f>ROUND((J17/L17)-1,3)</f>
        <v>0.36099999999999999</v>
      </c>
      <c r="Q17" s="144">
        <f>+J17-L17</f>
        <v>95870979</v>
      </c>
      <c r="R17" s="169"/>
    </row>
    <row r="18" spans="1:20" ht="15" customHeight="1">
      <c r="B18" s="159" t="s">
        <v>59</v>
      </c>
      <c r="C18" s="160" t="s">
        <v>8</v>
      </c>
      <c r="D18" s="190">
        <f>+C50</f>
        <v>640855854</v>
      </c>
      <c r="E18" s="190">
        <f>+D50</f>
        <v>580468054</v>
      </c>
      <c r="F18" s="191">
        <f>+E50</f>
        <v>575465445</v>
      </c>
      <c r="H18" s="140" t="s">
        <v>18</v>
      </c>
      <c r="J18" s="144">
        <f>+D10+D11</f>
        <v>1537208431</v>
      </c>
      <c r="K18" s="144"/>
      <c r="L18" s="144">
        <f>+E10+E11</f>
        <v>1540458461</v>
      </c>
      <c r="M18" s="144"/>
      <c r="O18" s="176"/>
      <c r="P18" s="170">
        <f>ROUND((J18/L18)-1,3)</f>
        <v>-2E-3</v>
      </c>
      <c r="Q18" s="144">
        <f>+J18-L18</f>
        <v>-3250030</v>
      </c>
    </row>
    <row r="19" spans="1:20" ht="15" customHeight="1">
      <c r="B19" s="159" t="s">
        <v>60</v>
      </c>
      <c r="C19" s="160" t="s">
        <v>8</v>
      </c>
      <c r="D19" s="190">
        <f>-C51-C53-C54-C55-C52</f>
        <v>400257261</v>
      </c>
      <c r="E19" s="190">
        <f>-D51-D53-D54-D55-D52</f>
        <v>359515629</v>
      </c>
      <c r="F19" s="191">
        <f>-E51-E53-E54-E55-E52</f>
        <v>359515629</v>
      </c>
      <c r="H19" s="139" t="s">
        <v>19</v>
      </c>
      <c r="J19" s="144"/>
      <c r="K19" s="144"/>
      <c r="L19" s="144"/>
      <c r="M19" s="144"/>
      <c r="O19" s="164"/>
      <c r="P19" s="193"/>
      <c r="Q19" s="144"/>
      <c r="R19" s="176"/>
      <c r="T19" s="144"/>
    </row>
    <row r="20" spans="1:20" ht="15" customHeight="1">
      <c r="B20" s="153" t="s">
        <v>75</v>
      </c>
      <c r="C20" s="189" t="s">
        <v>8</v>
      </c>
      <c r="D20" s="194">
        <f>+C64</f>
        <v>167301553</v>
      </c>
      <c r="E20" s="194">
        <f>+D64</f>
        <v>82672491</v>
      </c>
      <c r="F20" s="195">
        <f>+E64</f>
        <v>82672491</v>
      </c>
      <c r="H20" s="192" t="s">
        <v>56</v>
      </c>
      <c r="I20" s="140" t="s">
        <v>10</v>
      </c>
      <c r="J20" s="166">
        <f>+D11</f>
        <v>1175540305</v>
      </c>
      <c r="K20" s="184">
        <f>ROUND(J20/J21,4)</f>
        <v>0.76470000000000005</v>
      </c>
      <c r="L20" s="166">
        <f>+E11</f>
        <v>1274661314</v>
      </c>
      <c r="M20" s="184">
        <f>ROUND(L20/L21,4)</f>
        <v>0.82750000000000001</v>
      </c>
      <c r="N20" s="185"/>
      <c r="O20" s="169">
        <f>ROUND((K20/M20)-1,4)</f>
        <v>-7.5899999999999995E-2</v>
      </c>
      <c r="P20" s="170">
        <f>ROUND((J20/L20)-1,3)</f>
        <v>-7.8E-2</v>
      </c>
      <c r="Q20" s="144">
        <f>+J20-L20</f>
        <v>-99121009</v>
      </c>
      <c r="R20" s="176"/>
      <c r="T20" s="144"/>
    </row>
    <row r="21" spans="1:20" ht="15" customHeight="1">
      <c r="B21" s="159" t="s">
        <v>22</v>
      </c>
      <c r="C21" s="160" t="s">
        <v>8</v>
      </c>
      <c r="D21" s="190">
        <f>+C58</f>
        <v>-48849432</v>
      </c>
      <c r="E21" s="190">
        <f>+D58</f>
        <v>-36630374</v>
      </c>
      <c r="F21" s="191">
        <f>+E58</f>
        <v>-36630374</v>
      </c>
      <c r="H21" s="140" t="s">
        <v>18</v>
      </c>
      <c r="J21" s="144">
        <f>+J18</f>
        <v>1537208431</v>
      </c>
      <c r="K21" s="144" t="s">
        <v>4</v>
      </c>
      <c r="L21" s="144">
        <f>+L18</f>
        <v>1540458461</v>
      </c>
      <c r="M21" s="144" t="s">
        <v>4</v>
      </c>
      <c r="O21" s="176"/>
      <c r="P21" s="170">
        <f>ROUND((J21/L21)-1,3)</f>
        <v>-2E-3</v>
      </c>
      <c r="Q21" s="144">
        <f>+J21-L21</f>
        <v>-3250030</v>
      </c>
      <c r="T21" s="144"/>
    </row>
    <row r="22" spans="1:20" ht="15" customHeight="1">
      <c r="B22" s="159" t="s">
        <v>24</v>
      </c>
      <c r="C22" s="160" t="s">
        <v>8</v>
      </c>
      <c r="D22" s="190">
        <f>+J32</f>
        <v>293836545</v>
      </c>
      <c r="E22" s="190">
        <f>+L32</f>
        <v>194110275</v>
      </c>
      <c r="F22" s="191">
        <f>+M32</f>
        <v>0.51380000000000003</v>
      </c>
      <c r="H22" s="139" t="s">
        <v>20</v>
      </c>
      <c r="J22" s="144"/>
      <c r="K22" s="144"/>
      <c r="L22" s="144"/>
      <c r="M22" s="144"/>
      <c r="O22" s="176"/>
      <c r="P22" s="196"/>
    </row>
    <row r="23" spans="1:20" ht="15" customHeight="1">
      <c r="B23" s="159" t="s">
        <v>25</v>
      </c>
      <c r="C23" s="160" t="s">
        <v>8</v>
      </c>
      <c r="D23" s="190">
        <f>+C69</f>
        <v>133390421</v>
      </c>
      <c r="E23" s="190">
        <f>+D69</f>
        <v>85248734</v>
      </c>
      <c r="F23" s="191">
        <f>+E69</f>
        <v>85248734</v>
      </c>
      <c r="H23" s="165" t="s">
        <v>21</v>
      </c>
      <c r="J23" s="166">
        <f>Anualizados!C13</f>
        <v>216150985</v>
      </c>
      <c r="K23" s="167">
        <f>ROUND(J23/J24,2)</f>
        <v>4.42</v>
      </c>
      <c r="L23" s="166">
        <f>+F20-F21</f>
        <v>119302865</v>
      </c>
      <c r="M23" s="167">
        <f>ROUND(L23/L24,2)</f>
        <v>3.26</v>
      </c>
      <c r="N23" s="197"/>
      <c r="O23" s="169">
        <f>ROUND((K23/M23)-1,4)</f>
        <v>0.35580000000000001</v>
      </c>
      <c r="P23" s="170">
        <f>ROUND((J23/L23)-1,3)</f>
        <v>0.81200000000000006</v>
      </c>
      <c r="Q23" s="144">
        <f>+J23-L23</f>
        <v>96848120</v>
      </c>
    </row>
    <row r="24" spans="1:20" ht="15" customHeight="1" thickBot="1">
      <c r="B24" s="159" t="s">
        <v>26</v>
      </c>
      <c r="C24" s="160" t="s">
        <v>8</v>
      </c>
      <c r="D24" s="190">
        <f>+C65</f>
        <v>-33909237</v>
      </c>
      <c r="E24" s="190">
        <f>+D65</f>
        <v>2578383</v>
      </c>
      <c r="F24" s="191">
        <f>+E65</f>
        <v>2578383</v>
      </c>
      <c r="H24" s="140" t="s">
        <v>23</v>
      </c>
      <c r="J24" s="144">
        <f>Anualizados!C20</f>
        <v>48849432</v>
      </c>
      <c r="K24" s="198"/>
      <c r="L24" s="144">
        <f>-E58</f>
        <v>36630374</v>
      </c>
      <c r="M24" s="198"/>
      <c r="O24" s="144"/>
      <c r="P24" s="199">
        <f>ROUND((J24/L24)-1,3)</f>
        <v>0.33400000000000002</v>
      </c>
      <c r="Q24" s="144">
        <f>+J24-L24</f>
        <v>12219058</v>
      </c>
      <c r="T24" s="185"/>
    </row>
    <row r="25" spans="1:20" ht="15" customHeight="1" thickBot="1">
      <c r="B25" s="200" t="s">
        <v>61</v>
      </c>
      <c r="C25" s="201" t="s">
        <v>8</v>
      </c>
      <c r="D25" s="202">
        <f>+C53</f>
        <v>-77689350</v>
      </c>
      <c r="E25" s="202">
        <f>+D53</f>
        <v>-74811690</v>
      </c>
      <c r="F25" s="203">
        <f>+E53</f>
        <v>-74811690</v>
      </c>
      <c r="H25" s="204" t="s">
        <v>27</v>
      </c>
      <c r="I25" s="205"/>
      <c r="J25" s="206"/>
      <c r="K25" s="206"/>
      <c r="L25" s="206"/>
      <c r="M25" s="206"/>
      <c r="N25" s="205"/>
      <c r="O25" s="207"/>
      <c r="P25" s="205"/>
    </row>
    <row r="26" spans="1:20" ht="15" customHeight="1" thickBot="1">
      <c r="C26" s="151"/>
      <c r="D26" s="208"/>
      <c r="E26" s="209"/>
      <c r="F26" s="208"/>
      <c r="H26" s="205" t="s">
        <v>57</v>
      </c>
      <c r="I26" s="205" t="s">
        <v>10</v>
      </c>
      <c r="J26" s="210">
        <f>+D23</f>
        <v>133390421</v>
      </c>
      <c r="K26" s="206"/>
      <c r="L26" s="210">
        <f>+F23</f>
        <v>85248734</v>
      </c>
      <c r="M26" s="206"/>
      <c r="N26" s="205"/>
      <c r="O26" s="207"/>
      <c r="P26" s="205">
        <v>1000</v>
      </c>
      <c r="R26" s="176"/>
    </row>
    <row r="27" spans="1:20" ht="15" customHeight="1">
      <c r="A27" s="211"/>
      <c r="B27" s="146" t="s">
        <v>74</v>
      </c>
      <c r="C27" s="147"/>
      <c r="D27" s="188" t="str">
        <f>+$D$4</f>
        <v>Dic-23</v>
      </c>
      <c r="E27" s="188" t="str">
        <f>+$E$4</f>
        <v>Dic-22</v>
      </c>
      <c r="F27" s="188" t="str">
        <f>+$F$16</f>
        <v>Dic-22</v>
      </c>
      <c r="H27" s="205" t="s">
        <v>29</v>
      </c>
      <c r="I27" s="205" t="s">
        <v>10</v>
      </c>
      <c r="J27" s="210">
        <f>-D24</f>
        <v>33909237</v>
      </c>
      <c r="K27" s="206"/>
      <c r="L27" s="210">
        <f>-F24</f>
        <v>-2578383</v>
      </c>
      <c r="M27" s="206"/>
      <c r="N27" s="205"/>
      <c r="O27" s="207"/>
      <c r="P27" s="205"/>
      <c r="Q27" s="185"/>
      <c r="R27" s="176"/>
      <c r="T27" s="185"/>
    </row>
    <row r="28" spans="1:20" ht="15" customHeight="1">
      <c r="B28" s="159" t="s">
        <v>52</v>
      </c>
      <c r="C28" s="160" t="s">
        <v>8</v>
      </c>
      <c r="D28" s="212">
        <f>+Flujo!D23</f>
        <v>229397451</v>
      </c>
      <c r="E28" s="212">
        <f>+Flujo!E23</f>
        <v>242903240</v>
      </c>
      <c r="F28" s="213">
        <f>+[7]cálculos!$D$28</f>
        <v>242903240</v>
      </c>
      <c r="H28" s="205" t="s">
        <v>30</v>
      </c>
      <c r="I28" s="205" t="s">
        <v>10</v>
      </c>
      <c r="J28" s="210">
        <f>-D21</f>
        <v>48849432</v>
      </c>
      <c r="K28" s="206"/>
      <c r="L28" s="210">
        <f>-F21</f>
        <v>36630374</v>
      </c>
      <c r="M28" s="206"/>
      <c r="N28" s="206"/>
      <c r="O28" s="207"/>
      <c r="P28" s="206"/>
      <c r="Q28" s="144"/>
      <c r="R28" s="176"/>
      <c r="T28" s="144"/>
    </row>
    <row r="29" spans="1:20" ht="15" customHeight="1">
      <c r="A29" s="214"/>
      <c r="B29" s="159" t="s">
        <v>53</v>
      </c>
      <c r="C29" s="160" t="s">
        <v>8</v>
      </c>
      <c r="D29" s="212">
        <f>+Flujo!D48</f>
        <v>-150000484</v>
      </c>
      <c r="E29" s="212">
        <f>+Flujo!E48</f>
        <v>-165900708</v>
      </c>
      <c r="F29" s="213">
        <f>+[7]cálculos!$D$29</f>
        <v>-165900708</v>
      </c>
      <c r="H29" s="205" t="s">
        <v>62</v>
      </c>
      <c r="I29" s="205" t="s">
        <v>10</v>
      </c>
      <c r="J29" s="210">
        <f>-D25</f>
        <v>77689350</v>
      </c>
      <c r="K29" s="206"/>
      <c r="L29" s="210">
        <f>-F25</f>
        <v>74811690</v>
      </c>
      <c r="M29" s="206"/>
      <c r="N29" s="205"/>
      <c r="O29" s="207"/>
      <c r="P29" s="205"/>
      <c r="R29" s="176"/>
    </row>
    <row r="30" spans="1:20" ht="15" customHeight="1">
      <c r="A30" s="215"/>
      <c r="B30" s="159" t="s">
        <v>54</v>
      </c>
      <c r="C30" s="160" t="s">
        <v>8</v>
      </c>
      <c r="D30" s="212">
        <f>+Flujo!D65</f>
        <v>-149575627</v>
      </c>
      <c r="E30" s="212">
        <f>+Flujo!E65</f>
        <v>-61180505</v>
      </c>
      <c r="F30" s="213">
        <f>+[7]cálculos!$D$30</f>
        <v>-61180505</v>
      </c>
      <c r="H30" s="205" t="s">
        <v>63</v>
      </c>
      <c r="I30" s="205" t="s">
        <v>10</v>
      </c>
      <c r="J30" s="210">
        <f>-C67</f>
        <v>-1895</v>
      </c>
      <c r="K30" s="205"/>
      <c r="L30" s="210">
        <f>-E67</f>
        <v>-2140</v>
      </c>
      <c r="M30" s="205"/>
      <c r="N30" s="205"/>
      <c r="O30" s="207"/>
      <c r="P30" s="205"/>
      <c r="Q30" s="216"/>
      <c r="R30" s="176"/>
      <c r="T30" s="216"/>
    </row>
    <row r="31" spans="1:20" ht="15" customHeight="1">
      <c r="A31" s="215"/>
      <c r="B31" s="153" t="s">
        <v>28</v>
      </c>
      <c r="C31" s="160" t="s">
        <v>8</v>
      </c>
      <c r="D31" s="217">
        <f>SUM(D28:D30)</f>
        <v>-70178660</v>
      </c>
      <c r="E31" s="217">
        <f>SUM(E28:E30)</f>
        <v>15822027</v>
      </c>
      <c r="F31" s="218">
        <f>SUM(F28:F30)</f>
        <v>15822027</v>
      </c>
      <c r="H31" s="205" t="s">
        <v>33</v>
      </c>
      <c r="I31" s="205" t="s">
        <v>10</v>
      </c>
      <c r="J31" s="210">
        <v>0</v>
      </c>
      <c r="K31" s="206"/>
      <c r="L31" s="210">
        <v>0</v>
      </c>
      <c r="M31" s="206"/>
      <c r="N31" s="205"/>
      <c r="O31" s="207"/>
      <c r="P31" s="205"/>
      <c r="R31" s="176"/>
    </row>
    <row r="32" spans="1:20" ht="15" customHeight="1">
      <c r="A32" s="215"/>
      <c r="B32" s="159" t="s">
        <v>31</v>
      </c>
      <c r="C32" s="160" t="s">
        <v>8</v>
      </c>
      <c r="D32" s="212">
        <f>+Flujo!D70</f>
        <v>179335341</v>
      </c>
      <c r="E32" s="212">
        <f>+Flujo!E70</f>
        <v>163513314</v>
      </c>
      <c r="F32" s="213">
        <f>+[7]cálculos!$D$32</f>
        <v>163513314</v>
      </c>
      <c r="H32" s="219" t="s">
        <v>24</v>
      </c>
      <c r="I32" s="205"/>
      <c r="J32" s="220">
        <f>SUM(J26:J31)</f>
        <v>293836545</v>
      </c>
      <c r="K32" s="206"/>
      <c r="L32" s="220">
        <f>SUM(L26:L31)</f>
        <v>194110275</v>
      </c>
      <c r="M32" s="221">
        <f>ROUND((J32/L32)-1,4)</f>
        <v>0.51380000000000003</v>
      </c>
      <c r="N32" s="206"/>
      <c r="O32" s="222"/>
      <c r="P32" s="205"/>
      <c r="R32" s="176"/>
    </row>
    <row r="33" spans="2:20" ht="15" customHeight="1" thickBot="1">
      <c r="B33" s="179" t="s">
        <v>32</v>
      </c>
      <c r="C33" s="223" t="s">
        <v>8</v>
      </c>
      <c r="D33" s="224">
        <f>+D32+D31</f>
        <v>109156681</v>
      </c>
      <c r="E33" s="224">
        <f>+E32+E31</f>
        <v>179335341</v>
      </c>
      <c r="F33" s="225">
        <f>+F32+F31</f>
        <v>179335341</v>
      </c>
      <c r="H33" s="219"/>
      <c r="I33" s="205"/>
      <c r="J33" s="206"/>
      <c r="K33" s="206"/>
      <c r="L33" s="206"/>
      <c r="M33" s="206"/>
      <c r="N33" s="206"/>
      <c r="O33" s="207"/>
      <c r="P33" s="205"/>
      <c r="Q33" s="226"/>
      <c r="R33" s="176"/>
      <c r="T33" s="226"/>
    </row>
    <row r="34" spans="2:20" ht="15" customHeight="1" thickBot="1">
      <c r="D34" s="1">
        <f>+D33-Balance!D6</f>
        <v>0</v>
      </c>
      <c r="E34" s="1"/>
      <c r="F34" s="1">
        <f>+F33-Balance!E6</f>
        <v>0</v>
      </c>
      <c r="H34" s="219"/>
      <c r="I34" s="205"/>
      <c r="J34" s="206"/>
      <c r="K34" s="227"/>
      <c r="L34" s="206"/>
      <c r="M34" s="227"/>
      <c r="N34" s="206"/>
      <c r="O34" s="222"/>
      <c r="P34" s="228"/>
      <c r="Q34" s="144"/>
      <c r="R34" s="176"/>
      <c r="T34" s="144"/>
    </row>
    <row r="35" spans="2:20" ht="15" customHeight="1">
      <c r="B35" s="229" t="s">
        <v>98</v>
      </c>
      <c r="C35" s="342" t="s">
        <v>392</v>
      </c>
      <c r="D35" s="230">
        <f>+[7]cálculos!$D$13</f>
        <v>838861526</v>
      </c>
      <c r="E35" s="176"/>
      <c r="F35" s="176"/>
      <c r="H35" s="219" t="s">
        <v>58</v>
      </c>
      <c r="I35" s="205"/>
      <c r="J35" s="206">
        <f>+D18</f>
        <v>640855854</v>
      </c>
      <c r="K35" s="206"/>
      <c r="L35" s="206">
        <f>+E18</f>
        <v>580468054</v>
      </c>
      <c r="M35" s="206"/>
      <c r="N35" s="206"/>
      <c r="O35" s="205"/>
      <c r="P35" s="228">
        <f>ROUND((J35/L35)-1,4)</f>
        <v>0.104</v>
      </c>
      <c r="R35" s="176"/>
    </row>
    <row r="36" spans="2:20" ht="15" customHeight="1" thickBot="1">
      <c r="B36" s="231" t="s">
        <v>290</v>
      </c>
      <c r="C36" s="343" t="s">
        <v>392</v>
      </c>
      <c r="D36" s="233">
        <f>+[6]cálculos!$D8</f>
        <v>2229221610</v>
      </c>
      <c r="E36" s="176"/>
      <c r="F36" s="176"/>
      <c r="H36" s="139"/>
      <c r="J36" s="234"/>
      <c r="K36" s="144"/>
      <c r="L36" s="234"/>
      <c r="M36" s="144"/>
      <c r="N36" s="144"/>
      <c r="P36" s="144"/>
      <c r="R36" s="176"/>
    </row>
    <row r="37" spans="2:20" ht="15" customHeight="1" thickBot="1">
      <c r="B37" s="231"/>
      <c r="C37" s="232"/>
      <c r="D37" s="233"/>
      <c r="E37" s="176"/>
      <c r="F37" s="176"/>
      <c r="H37" s="157" t="s">
        <v>34</v>
      </c>
      <c r="J37" s="144"/>
      <c r="K37" s="144"/>
      <c r="L37" s="144"/>
      <c r="M37" s="144"/>
      <c r="P37" s="144"/>
      <c r="Q37" s="185"/>
      <c r="R37" s="185" t="s">
        <v>4</v>
      </c>
      <c r="T37" s="185"/>
    </row>
    <row r="38" spans="2:20" ht="15" customHeight="1">
      <c r="B38" s="231"/>
      <c r="C38" s="232"/>
      <c r="D38" s="235"/>
      <c r="E38" s="176"/>
      <c r="F38" s="176"/>
      <c r="H38" s="139" t="s">
        <v>35</v>
      </c>
      <c r="J38" s="144"/>
      <c r="K38" s="144"/>
      <c r="L38" s="144"/>
      <c r="M38" s="144"/>
      <c r="O38" s="236"/>
      <c r="P38" s="140"/>
      <c r="R38" s="176"/>
    </row>
    <row r="39" spans="2:20" ht="15" customHeight="1" thickBot="1">
      <c r="B39" s="237"/>
      <c r="C39" s="238"/>
      <c r="D39" s="239"/>
      <c r="H39" s="165" t="s">
        <v>36</v>
      </c>
      <c r="I39" s="140" t="s">
        <v>10</v>
      </c>
      <c r="J39" s="166">
        <f>Anualizados!C6</f>
        <v>133390421</v>
      </c>
      <c r="K39" s="184">
        <f>ROUND(J39/J40,4)*100</f>
        <v>15.47</v>
      </c>
      <c r="L39" s="166">
        <f>+E69</f>
        <v>85248734</v>
      </c>
      <c r="M39" s="184">
        <f>ROUND(L39/L40,4)*100</f>
        <v>10.14</v>
      </c>
      <c r="N39" s="185"/>
      <c r="O39" s="169">
        <f>ROUND((K39/M39)-1,4)</f>
        <v>0.52559999999999996</v>
      </c>
      <c r="P39" s="170">
        <f>ROUND((J39/L39)-1,3)</f>
        <v>0.56499999999999995</v>
      </c>
      <c r="Q39" s="144">
        <f>+J39-L39</f>
        <v>48141687</v>
      </c>
      <c r="R39" s="240"/>
    </row>
    <row r="40" spans="2:20" ht="15" customHeight="1" thickBot="1">
      <c r="H40" s="140" t="s">
        <v>90</v>
      </c>
      <c r="I40" s="140" t="s">
        <v>4</v>
      </c>
      <c r="J40" s="144">
        <f>ROUND((D13+D35)/2,0)</f>
        <v>862484678</v>
      </c>
      <c r="K40" s="144"/>
      <c r="L40" s="144">
        <f>ROUND((E13+F13)/2,0)</f>
        <v>840690871</v>
      </c>
      <c r="M40" s="144"/>
      <c r="O40" s="240"/>
      <c r="P40" s="170">
        <f>ROUND((J40/L40)-1,3)</f>
        <v>2.5999999999999999E-2</v>
      </c>
      <c r="Q40" s="144">
        <f>+J40-L40</f>
        <v>21793807</v>
      </c>
      <c r="R40" s="176"/>
    </row>
    <row r="41" spans="2:20" ht="15" customHeight="1">
      <c r="B41" s="241" t="s">
        <v>279</v>
      </c>
      <c r="C41" s="148" t="s">
        <v>376</v>
      </c>
      <c r="D41" s="148" t="s">
        <v>377</v>
      </c>
      <c r="H41" s="139" t="s">
        <v>37</v>
      </c>
      <c r="J41" s="144"/>
      <c r="K41" s="144"/>
      <c r="L41" s="144"/>
      <c r="M41" s="144"/>
      <c r="O41" s="236"/>
      <c r="P41" s="242"/>
      <c r="Q41" s="240"/>
      <c r="R41" s="176"/>
    </row>
    <row r="42" spans="2:20" ht="15" customHeight="1">
      <c r="B42" s="159" t="s">
        <v>394</v>
      </c>
      <c r="C42" s="154">
        <v>8.2119599999999995</v>
      </c>
      <c r="D42" s="156"/>
      <c r="H42" s="165" t="s">
        <v>36</v>
      </c>
      <c r="I42" s="140" t="s">
        <v>10</v>
      </c>
      <c r="J42" s="166">
        <f>+J39</f>
        <v>133390421</v>
      </c>
      <c r="K42" s="184">
        <f>ROUND(J42/J43,4)*100</f>
        <v>5.7299999999999995</v>
      </c>
      <c r="L42" s="166">
        <f>+L39</f>
        <v>85248734</v>
      </c>
      <c r="M42" s="184">
        <f>ROUND(L42/L43,4)*100</f>
        <v>3.6999999999999997</v>
      </c>
      <c r="N42" s="185"/>
      <c r="O42" s="169">
        <f>ROUND((K42/M42)-1,4)</f>
        <v>0.54859999999999998</v>
      </c>
      <c r="P42" s="170">
        <f>ROUND((J42/L42)-1,3)</f>
        <v>0.56499999999999995</v>
      </c>
      <c r="Q42" s="144">
        <f>+J42-L42</f>
        <v>48141687</v>
      </c>
    </row>
    <row r="43" spans="2:20" ht="15" customHeight="1">
      <c r="B43" s="159" t="s">
        <v>393</v>
      </c>
      <c r="C43" s="154">
        <v>6.5370499999999998</v>
      </c>
      <c r="D43" s="156"/>
      <c r="H43" s="140" t="s">
        <v>38</v>
      </c>
      <c r="I43" s="140" t="s">
        <v>4</v>
      </c>
      <c r="J43" s="243">
        <f>ROUND((+D8+D36)/2,0)</f>
        <v>2326284670</v>
      </c>
      <c r="K43" s="144"/>
      <c r="L43" s="243">
        <f>ROUND((E8+F8)/2,0)</f>
        <v>2304285585</v>
      </c>
      <c r="M43" s="144"/>
      <c r="N43" s="198"/>
      <c r="O43" s="240"/>
      <c r="P43" s="170">
        <f>ROUND((J43/L43)-1,3)</f>
        <v>0.01</v>
      </c>
      <c r="Q43" s="144">
        <f>+J43-L43</f>
        <v>21999085</v>
      </c>
    </row>
    <row r="44" spans="2:20" ht="15" customHeight="1">
      <c r="B44" s="159" t="s">
        <v>348</v>
      </c>
      <c r="C44" s="154"/>
      <c r="D44" s="156">
        <v>7.0273399999999997</v>
      </c>
      <c r="H44" s="139" t="s">
        <v>39</v>
      </c>
      <c r="J44" s="144"/>
      <c r="K44" s="144"/>
      <c r="L44" s="144"/>
      <c r="M44" s="144"/>
      <c r="P44" s="244"/>
    </row>
    <row r="45" spans="2:20" ht="15" customHeight="1">
      <c r="B45" s="159" t="s">
        <v>347</v>
      </c>
      <c r="C45" s="154"/>
      <c r="D45" s="156">
        <v>5.7199299999999997</v>
      </c>
      <c r="H45" s="165" t="s">
        <v>40</v>
      </c>
      <c r="I45" s="140" t="s">
        <v>10</v>
      </c>
      <c r="J45" s="166">
        <f>+J42*1000</f>
        <v>133390421000</v>
      </c>
      <c r="K45" s="167">
        <f>ROUND(J45/J46,2)</f>
        <v>21.8</v>
      </c>
      <c r="L45" s="166">
        <f>+L39*1000</f>
        <v>85248734000</v>
      </c>
      <c r="M45" s="167">
        <f>ROUND(L45/L46,2)</f>
        <v>13.93</v>
      </c>
      <c r="N45" s="216"/>
      <c r="O45" s="169">
        <f>ROUND((K45/M45)-1,4)</f>
        <v>0.56499999999999995</v>
      </c>
      <c r="P45" s="170">
        <f>ROUND((J45/L45)-1,3)</f>
        <v>0.56499999999999995</v>
      </c>
    </row>
    <row r="46" spans="2:20" ht="15" customHeight="1" thickBot="1">
      <c r="B46" s="245"/>
      <c r="C46" s="246">
        <f>SUM(C42:C45)</f>
        <v>14.749009999999998</v>
      </c>
      <c r="D46" s="247">
        <f>SUM(D42:D45)</f>
        <v>12.74727</v>
      </c>
      <c r="E46" s="248"/>
      <c r="H46" s="140" t="s">
        <v>41</v>
      </c>
      <c r="J46" s="249">
        <v>6118965160</v>
      </c>
      <c r="K46" s="144"/>
      <c r="L46" s="249">
        <v>6118965160</v>
      </c>
      <c r="M46" s="144"/>
      <c r="P46" s="170">
        <f>ROUND((J46/L46)-1,3)</f>
        <v>0</v>
      </c>
    </row>
    <row r="47" spans="2:20" ht="15" customHeight="1">
      <c r="E47" s="250"/>
      <c r="J47" s="144"/>
      <c r="K47" s="144"/>
      <c r="L47" s="251" t="s">
        <v>4</v>
      </c>
      <c r="M47" s="144"/>
      <c r="O47" s="236"/>
    </row>
    <row r="48" spans="2:20" ht="15" customHeight="1" thickBot="1">
      <c r="C48" s="250"/>
      <c r="D48" s="250"/>
      <c r="E48" s="250"/>
      <c r="H48" s="139" t="s">
        <v>42</v>
      </c>
      <c r="J48" s="144"/>
      <c r="K48" s="144"/>
      <c r="L48" s="251"/>
      <c r="M48" s="144"/>
      <c r="O48" s="236"/>
    </row>
    <row r="49" spans="2:16" ht="15" customHeight="1">
      <c r="B49" s="146" t="s">
        <v>181</v>
      </c>
      <c r="C49" s="188" t="str">
        <f>+$D$4</f>
        <v>Dic-23</v>
      </c>
      <c r="D49" s="188" t="str">
        <f>+$E$4</f>
        <v>Dic-22</v>
      </c>
      <c r="E49" s="188" t="str">
        <f>+$F$16</f>
        <v>Dic-22</v>
      </c>
      <c r="H49" s="165" t="s">
        <v>43</v>
      </c>
      <c r="I49" s="140" t="s">
        <v>10</v>
      </c>
      <c r="J49" s="252">
        <f>+C46</f>
        <v>14.749009999999998</v>
      </c>
      <c r="K49" s="184">
        <f>ROUND(J49/J50,4)*100</f>
        <v>5.18</v>
      </c>
      <c r="L49" s="253">
        <f>+D46</f>
        <v>12.74727</v>
      </c>
      <c r="M49" s="184">
        <f>ROUND(L49/L50,4)*100</f>
        <v>6.5100000000000007</v>
      </c>
      <c r="N49" s="226"/>
      <c r="O49" s="169">
        <f>ROUND((K49/M49)-1,4)</f>
        <v>-0.20430000000000001</v>
      </c>
      <c r="P49" s="170">
        <f>ROUND((J49/L49)-1,3)</f>
        <v>0.157</v>
      </c>
    </row>
    <row r="50" spans="2:16" ht="15" customHeight="1">
      <c r="B50" s="159" t="s">
        <v>99</v>
      </c>
      <c r="C50" s="254">
        <f>+Resultado!D5</f>
        <v>640855854</v>
      </c>
      <c r="D50" s="254">
        <f>+Resultado!E5</f>
        <v>580468054</v>
      </c>
      <c r="E50" s="254">
        <f>+[7]cálculos!C50</f>
        <v>575465445</v>
      </c>
      <c r="F50" s="255"/>
      <c r="H50" s="140" t="s">
        <v>44</v>
      </c>
      <c r="J50" s="256">
        <v>284.60000000000002</v>
      </c>
      <c r="K50" s="198" t="s">
        <v>4</v>
      </c>
      <c r="L50" s="256">
        <v>195.9</v>
      </c>
      <c r="M50" s="198" t="s">
        <v>4</v>
      </c>
      <c r="N50" s="257"/>
      <c r="O50" s="240"/>
      <c r="P50" s="170">
        <f>ROUND((J50/L50)-1,3)</f>
        <v>0.45300000000000001</v>
      </c>
    </row>
    <row r="51" spans="2:16" ht="15" customHeight="1">
      <c r="B51" s="159" t="s">
        <v>100</v>
      </c>
      <c r="C51" s="254">
        <f>+Resultado!D6</f>
        <v>-85361668</v>
      </c>
      <c r="D51" s="254">
        <f>+Resultado!E6</f>
        <v>-79574233</v>
      </c>
      <c r="E51" s="254">
        <f>+[7]cálculos!C51</f>
        <v>-79574233</v>
      </c>
      <c r="F51" s="255"/>
      <c r="P51" s="244"/>
    </row>
    <row r="52" spans="2:16" ht="15" customHeight="1">
      <c r="B52" s="159" t="s">
        <v>91</v>
      </c>
      <c r="C52" s="254">
        <f>+Resultado!D7</f>
        <v>-76458923</v>
      </c>
      <c r="D52" s="254">
        <f>+Resultado!E7</f>
        <v>-66369413</v>
      </c>
      <c r="E52" s="254">
        <f>+[7]cálculos!C52</f>
        <v>-66369413</v>
      </c>
      <c r="F52" s="255"/>
      <c r="J52" s="250"/>
      <c r="M52" s="258"/>
    </row>
    <row r="53" spans="2:16" ht="15" customHeight="1">
      <c r="B53" s="159" t="s">
        <v>92</v>
      </c>
      <c r="C53" s="254">
        <f>+Resultado!D8</f>
        <v>-77689350</v>
      </c>
      <c r="D53" s="254">
        <f>+Resultado!E8</f>
        <v>-74811690</v>
      </c>
      <c r="E53" s="254">
        <f>+[7]cálculos!C53</f>
        <v>-74811690</v>
      </c>
      <c r="F53" s="255"/>
      <c r="J53" s="250"/>
    </row>
    <row r="54" spans="2:16" ht="15" customHeight="1">
      <c r="B54" s="159" t="s">
        <v>101</v>
      </c>
      <c r="C54" s="254">
        <f>+Resultado!D9</f>
        <v>-12316346</v>
      </c>
      <c r="D54" s="254">
        <f>+Resultado!E9</f>
        <v>-13830357</v>
      </c>
      <c r="E54" s="254">
        <f>+[7]cálculos!C54</f>
        <v>-13830357</v>
      </c>
      <c r="F54" s="255"/>
      <c r="P54" s="259"/>
    </row>
    <row r="55" spans="2:16" ht="15" customHeight="1">
      <c r="B55" s="159" t="s">
        <v>102</v>
      </c>
      <c r="C55" s="254">
        <f>+Resultado!D10</f>
        <v>-148430974</v>
      </c>
      <c r="D55" s="254">
        <f>+Resultado!E10</f>
        <v>-124929936</v>
      </c>
      <c r="E55" s="254">
        <f>+[7]cálculos!C55</f>
        <v>-124929936</v>
      </c>
      <c r="F55" s="255"/>
    </row>
    <row r="56" spans="2:16" ht="15" customHeight="1">
      <c r="B56" s="153" t="s">
        <v>76</v>
      </c>
      <c r="C56" s="260">
        <f>SUM(C50:C55)</f>
        <v>240598593</v>
      </c>
      <c r="D56" s="260">
        <f>SUM(D50:D55)</f>
        <v>220952425</v>
      </c>
      <c r="E56" s="260">
        <f>SUM(E50:E55)</f>
        <v>215949816</v>
      </c>
      <c r="F56" s="255"/>
      <c r="H56" s="261"/>
      <c r="I56" s="262"/>
      <c r="J56" s="263"/>
      <c r="K56" s="263"/>
      <c r="L56" s="263"/>
      <c r="M56" s="263"/>
      <c r="O56" s="264"/>
      <c r="P56" s="265"/>
    </row>
    <row r="57" spans="2:16" ht="15" customHeight="1">
      <c r="B57" s="159" t="s">
        <v>77</v>
      </c>
      <c r="C57" s="254">
        <f>+Resultado!D13</f>
        <v>15927907</v>
      </c>
      <c r="D57" s="254">
        <f>+Resultado!E13</f>
        <v>15978770</v>
      </c>
      <c r="E57" s="254">
        <f>+[7]cálculos!C57</f>
        <v>20981379</v>
      </c>
      <c r="F57" s="255"/>
      <c r="H57" s="261"/>
      <c r="I57" s="262"/>
      <c r="J57" s="263"/>
      <c r="K57" s="263"/>
      <c r="L57" s="263"/>
      <c r="M57" s="263"/>
      <c r="O57" s="266"/>
    </row>
    <row r="58" spans="2:16" ht="15" customHeight="1">
      <c r="B58" s="159" t="s">
        <v>78</v>
      </c>
      <c r="C58" s="254">
        <f>+Resultado!D14</f>
        <v>-48849432</v>
      </c>
      <c r="D58" s="254">
        <f>+Resultado!E14</f>
        <v>-36630374</v>
      </c>
      <c r="E58" s="254">
        <f>+[7]cálculos!C58</f>
        <v>-36630374</v>
      </c>
      <c r="F58" s="255"/>
      <c r="H58" s="262"/>
      <c r="I58" s="262"/>
      <c r="J58" s="263"/>
      <c r="K58" s="267"/>
      <c r="L58" s="263"/>
      <c r="M58" s="267"/>
      <c r="N58" s="226"/>
      <c r="O58" s="268"/>
      <c r="P58" s="269"/>
    </row>
    <row r="59" spans="2:16" ht="15" customHeight="1">
      <c r="B59" s="159" t="s">
        <v>79</v>
      </c>
      <c r="C59" s="254">
        <f>+Resultado!D15</f>
        <v>2645936</v>
      </c>
      <c r="D59" s="254">
        <f>+Resultado!E15</f>
        <v>-854215</v>
      </c>
      <c r="E59" s="254">
        <f>+[7]cálculos!C59</f>
        <v>-1367945</v>
      </c>
      <c r="F59" s="255"/>
      <c r="H59" s="262"/>
      <c r="I59" s="262"/>
      <c r="J59" s="263"/>
      <c r="K59" s="270"/>
      <c r="L59" s="263"/>
      <c r="M59" s="270"/>
      <c r="O59" s="266"/>
      <c r="P59" s="269"/>
    </row>
    <row r="60" spans="2:16" ht="15" customHeight="1">
      <c r="B60" s="159" t="s">
        <v>80</v>
      </c>
      <c r="C60" s="254">
        <f>+Resultado!D16</f>
        <v>-46357996</v>
      </c>
      <c r="D60" s="254">
        <f>+Resultado!E16</f>
        <v>-115252282</v>
      </c>
      <c r="E60" s="254">
        <f>+[7]cálculos!C60</f>
        <v>-114738552</v>
      </c>
      <c r="F60" s="255"/>
      <c r="H60" s="261"/>
      <c r="I60" s="262"/>
      <c r="J60" s="263"/>
      <c r="K60" s="263"/>
      <c r="L60" s="263"/>
      <c r="M60" s="263"/>
      <c r="O60" s="266"/>
    </row>
    <row r="61" spans="2:16" ht="15" customHeight="1">
      <c r="B61" s="153" t="s">
        <v>81</v>
      </c>
      <c r="C61" s="260">
        <f>SUM(C57:C60)</f>
        <v>-76633585</v>
      </c>
      <c r="D61" s="260">
        <f>SUM(D57:D60)</f>
        <v>-136758101</v>
      </c>
      <c r="E61" s="260">
        <f>SUM(E57:E60)</f>
        <v>-131755492</v>
      </c>
      <c r="F61" s="255"/>
      <c r="H61" s="262"/>
      <c r="I61" s="271"/>
      <c r="J61" s="263"/>
      <c r="K61" s="267"/>
      <c r="L61" s="263"/>
      <c r="M61" s="267"/>
      <c r="N61" s="272"/>
      <c r="O61" s="268"/>
      <c r="P61" s="269"/>
    </row>
    <row r="62" spans="2:16" ht="15" customHeight="1">
      <c r="B62" s="159" t="s">
        <v>87</v>
      </c>
      <c r="C62" s="254">
        <f>+Resultado!D11</f>
        <v>3336545</v>
      </c>
      <c r="D62" s="254">
        <f>+Resultado!E11</f>
        <v>-1521833</v>
      </c>
      <c r="E62" s="254">
        <f>+[7]cálculos!C62</f>
        <v>-1521833</v>
      </c>
      <c r="F62" s="255"/>
      <c r="H62" s="262"/>
      <c r="I62" s="262"/>
      <c r="J62" s="263"/>
      <c r="K62" s="270"/>
      <c r="L62" s="263"/>
      <c r="M62" s="270"/>
      <c r="N62" s="144"/>
      <c r="O62" s="266"/>
      <c r="P62" s="269"/>
    </row>
    <row r="63" spans="2:16" ht="15" customHeight="1">
      <c r="B63" s="159" t="s">
        <v>82</v>
      </c>
      <c r="C63" s="254"/>
      <c r="D63" s="254"/>
      <c r="E63" s="254"/>
      <c r="F63" s="255"/>
      <c r="H63" s="139"/>
      <c r="J63" s="144"/>
      <c r="K63" s="144"/>
      <c r="L63" s="144"/>
      <c r="M63" s="144"/>
      <c r="O63" s="266"/>
    </row>
    <row r="64" spans="2:16" ht="15" customHeight="1">
      <c r="B64" s="153" t="s">
        <v>83</v>
      </c>
      <c r="C64" s="260">
        <f>+C56+C61+C62+C63</f>
        <v>167301553</v>
      </c>
      <c r="D64" s="260">
        <f>+D56+D61+D62+D63</f>
        <v>82672491</v>
      </c>
      <c r="E64" s="260">
        <f>+E56+E61+E62+E63</f>
        <v>82672491</v>
      </c>
      <c r="F64" s="255"/>
      <c r="L64" s="273"/>
    </row>
    <row r="65" spans="2:13" ht="15" customHeight="1">
      <c r="B65" s="159" t="s">
        <v>84</v>
      </c>
      <c r="C65" s="254">
        <f>+Resultado!D19</f>
        <v>-33909237</v>
      </c>
      <c r="D65" s="254">
        <f>+Resultado!E19</f>
        <v>2578383</v>
      </c>
      <c r="E65" s="254">
        <f>+[7]cálculos!C65</f>
        <v>2578383</v>
      </c>
      <c r="F65" s="255"/>
      <c r="K65" s="274"/>
      <c r="M65" s="274"/>
    </row>
    <row r="66" spans="2:13" ht="15" customHeight="1">
      <c r="B66" s="159" t="s">
        <v>309</v>
      </c>
      <c r="C66" s="254">
        <f>+Resultado!D21</f>
        <v>0</v>
      </c>
      <c r="D66" s="254">
        <f>+Resultado!E21</f>
        <v>0</v>
      </c>
      <c r="E66" s="254">
        <f>+[7]cálculos!C66</f>
        <v>0</v>
      </c>
      <c r="F66" s="255"/>
      <c r="K66" s="274"/>
      <c r="M66" s="274"/>
    </row>
    <row r="67" spans="2:13" ht="15" customHeight="1">
      <c r="B67" s="159" t="s">
        <v>85</v>
      </c>
      <c r="C67" s="254">
        <f>+Resultado!D26</f>
        <v>1895</v>
      </c>
      <c r="D67" s="254">
        <f>+Resultado!E26</f>
        <v>2140</v>
      </c>
      <c r="E67" s="254">
        <f>+[7]cálculos!C67</f>
        <v>2140</v>
      </c>
      <c r="F67" s="255"/>
    </row>
    <row r="68" spans="2:13" ht="15" customHeight="1">
      <c r="B68" s="275" t="s">
        <v>88</v>
      </c>
      <c r="C68" s="276">
        <f>+C64+C65+C66</f>
        <v>133392316</v>
      </c>
      <c r="D68" s="276">
        <f>+D64+D65+D66</f>
        <v>85250874</v>
      </c>
      <c r="E68" s="276">
        <f>+E64+E65+E66</f>
        <v>85250874</v>
      </c>
      <c r="F68" s="255"/>
    </row>
    <row r="69" spans="2:13" ht="15" customHeight="1" thickBot="1">
      <c r="B69" s="277" t="s">
        <v>86</v>
      </c>
      <c r="C69" s="278">
        <f>+C68-C67</f>
        <v>133390421</v>
      </c>
      <c r="D69" s="278">
        <f t="shared" ref="D69:E69" si="1">+D68-D67</f>
        <v>85248734</v>
      </c>
      <c r="E69" s="278">
        <f t="shared" si="1"/>
        <v>85248734</v>
      </c>
      <c r="F69" s="255"/>
    </row>
    <row r="70" spans="2:13" ht="15" customHeight="1">
      <c r="D70" s="255"/>
    </row>
    <row r="71" spans="2:13" ht="15" customHeight="1">
      <c r="D71" s="255"/>
    </row>
    <row r="72" spans="2:13" ht="15" customHeight="1">
      <c r="D72" s="255"/>
    </row>
    <row r="73" spans="2:13" ht="15" customHeight="1">
      <c r="C73" s="279"/>
    </row>
    <row r="76" spans="2:13" ht="15" customHeight="1">
      <c r="C76" s="255"/>
    </row>
    <row r="100" spans="10:14" ht="15" customHeight="1">
      <c r="J100" s="280"/>
      <c r="K100" s="280"/>
      <c r="M100" s="280"/>
      <c r="N100" s="280"/>
    </row>
    <row r="101" spans="10:14" ht="15" customHeight="1">
      <c r="J101" s="280"/>
      <c r="K101" s="280"/>
      <c r="M101" s="280"/>
      <c r="N101" s="280"/>
    </row>
    <row r="102" spans="10:14" ht="15" customHeight="1">
      <c r="J102" s="280"/>
      <c r="K102" s="280"/>
      <c r="M102" s="280"/>
      <c r="N102" s="280"/>
    </row>
    <row r="103" spans="10:14" ht="15" customHeight="1">
      <c r="J103" s="280"/>
      <c r="K103" s="280"/>
      <c r="M103" s="280"/>
      <c r="N103" s="280"/>
    </row>
    <row r="104" spans="10:14" ht="15" customHeight="1">
      <c r="J104" s="280"/>
      <c r="K104" s="280"/>
      <c r="M104" s="280"/>
      <c r="N104" s="280"/>
    </row>
    <row r="105" spans="10:14" ht="15" customHeight="1">
      <c r="J105" s="280"/>
      <c r="K105" s="280"/>
      <c r="M105" s="280"/>
      <c r="N105" s="280"/>
    </row>
    <row r="106" spans="10:14" ht="15" customHeight="1">
      <c r="J106" s="280"/>
      <c r="K106" s="280"/>
      <c r="L106" s="280"/>
      <c r="M106" s="280"/>
      <c r="N106" s="280"/>
    </row>
    <row r="107" spans="10:14" ht="15" customHeight="1">
      <c r="J107" s="280"/>
      <c r="K107" s="280"/>
      <c r="L107" s="280"/>
      <c r="M107" s="280"/>
      <c r="N107" s="280"/>
    </row>
    <row r="108" spans="10:14" ht="15" customHeight="1">
      <c r="J108" s="280"/>
      <c r="K108" s="280"/>
      <c r="L108" s="280"/>
      <c r="M108" s="280"/>
    </row>
    <row r="109" spans="10:14" ht="15" customHeight="1">
      <c r="J109" s="280"/>
      <c r="K109" s="280"/>
      <c r="L109" s="280"/>
      <c r="M109" s="280"/>
    </row>
    <row r="110" spans="10:14" ht="15" customHeight="1">
      <c r="J110" s="280"/>
      <c r="K110" s="280"/>
      <c r="L110" s="280"/>
      <c r="M110" s="280"/>
    </row>
    <row r="111" spans="10:14" ht="15" customHeight="1">
      <c r="J111" s="280"/>
      <c r="K111" s="280"/>
      <c r="L111" s="280"/>
      <c r="M111" s="280"/>
    </row>
    <row r="112" spans="10:14" ht="15" customHeight="1">
      <c r="J112" s="280"/>
      <c r="K112" s="280"/>
      <c r="L112" s="280"/>
      <c r="M112" s="280"/>
    </row>
    <row r="113" spans="10:13" ht="15" customHeight="1">
      <c r="J113" s="280"/>
      <c r="K113" s="280"/>
      <c r="L113" s="280"/>
      <c r="M113" s="280"/>
    </row>
    <row r="114" spans="10:13" ht="15" customHeight="1">
      <c r="J114" s="280"/>
      <c r="K114" s="280"/>
      <c r="L114" s="280"/>
      <c r="M114" s="280"/>
    </row>
    <row r="115" spans="10:13" ht="15" customHeight="1">
      <c r="J115" s="280"/>
      <c r="K115" s="280"/>
      <c r="L115" s="280"/>
      <c r="M115" s="280"/>
    </row>
    <row r="116" spans="10:13" ht="15" customHeight="1">
      <c r="J116" s="280"/>
      <c r="K116" s="280"/>
      <c r="L116" s="280"/>
      <c r="M116" s="280"/>
    </row>
    <row r="117" spans="10:13" ht="15" customHeight="1">
      <c r="J117" s="280"/>
      <c r="K117" s="280"/>
      <c r="L117" s="280"/>
      <c r="M117" s="280"/>
    </row>
    <row r="118" spans="10:13" ht="15" customHeight="1">
      <c r="J118" s="280"/>
      <c r="K118" s="280"/>
      <c r="L118" s="280"/>
      <c r="M118" s="280"/>
    </row>
    <row r="119" spans="10:13" ht="15" customHeight="1">
      <c r="J119" s="280"/>
      <c r="K119" s="280"/>
      <c r="L119" s="280"/>
      <c r="M119" s="280"/>
    </row>
    <row r="120" spans="10:13" ht="15" customHeight="1">
      <c r="J120" s="280"/>
      <c r="K120" s="280"/>
      <c r="L120" s="280"/>
      <c r="M120" s="280"/>
    </row>
    <row r="121" spans="10:13" ht="15" customHeight="1">
      <c r="J121" s="280"/>
      <c r="K121" s="280"/>
      <c r="L121" s="280"/>
      <c r="M121" s="280"/>
    </row>
    <row r="122" spans="10:13" ht="15" customHeight="1">
      <c r="J122" s="280"/>
      <c r="K122" s="280"/>
      <c r="M122" s="280"/>
    </row>
    <row r="123" spans="10:13" ht="15" customHeight="1">
      <c r="J123" s="280"/>
      <c r="K123" s="280"/>
      <c r="L123" s="280"/>
      <c r="M123" s="280"/>
    </row>
    <row r="124" spans="10:13" ht="15" customHeight="1">
      <c r="J124" s="280"/>
      <c r="K124" s="280"/>
      <c r="L124" s="280"/>
      <c r="M124" s="280"/>
    </row>
    <row r="125" spans="10:13" ht="15" customHeight="1">
      <c r="J125" s="280"/>
      <c r="K125" s="280"/>
      <c r="L125" s="280"/>
      <c r="M125" s="280"/>
    </row>
    <row r="126" spans="10:13" ht="15" customHeight="1">
      <c r="J126" s="280"/>
      <c r="K126" s="280"/>
      <c r="L126" s="280"/>
      <c r="M126" s="280"/>
    </row>
    <row r="127" spans="10:13" ht="15" customHeight="1">
      <c r="J127" s="280"/>
      <c r="K127" s="280"/>
      <c r="L127" s="280"/>
      <c r="M127" s="280"/>
    </row>
    <row r="128" spans="10:13" ht="15" customHeight="1">
      <c r="J128" s="280"/>
      <c r="K128" s="280"/>
      <c r="L128" s="280"/>
      <c r="M128" s="280"/>
    </row>
    <row r="129" spans="10:13" ht="15" customHeight="1">
      <c r="J129" s="280"/>
      <c r="K129" s="280"/>
      <c r="L129" s="280"/>
      <c r="M129" s="280"/>
    </row>
    <row r="130" spans="10:13" ht="15" customHeight="1">
      <c r="J130" s="280"/>
      <c r="K130" s="280"/>
      <c r="M130" s="280"/>
    </row>
    <row r="131" spans="10:13" ht="15" customHeight="1">
      <c r="J131" s="280"/>
      <c r="K131" s="280"/>
      <c r="M131" s="280"/>
    </row>
    <row r="132" spans="10:13" ht="15" customHeight="1">
      <c r="J132" s="280"/>
      <c r="K132" s="280"/>
      <c r="M132" s="280"/>
    </row>
    <row r="133" spans="10:13" ht="15" customHeight="1">
      <c r="J133" s="280"/>
      <c r="K133" s="280"/>
      <c r="M133" s="280"/>
    </row>
    <row r="134" spans="10:13" ht="15" customHeight="1">
      <c r="J134" s="280"/>
      <c r="K134" s="280"/>
      <c r="M134" s="280"/>
    </row>
    <row r="135" spans="10:13" ht="15" customHeight="1">
      <c r="J135" s="280"/>
      <c r="K135" s="280"/>
      <c r="M135" s="280"/>
    </row>
    <row r="136" spans="10:13" ht="15" customHeight="1">
      <c r="J136" s="280"/>
      <c r="K136" s="280"/>
      <c r="M136" s="280"/>
    </row>
    <row r="137" spans="10:13" ht="15" customHeight="1">
      <c r="J137" s="280"/>
      <c r="K137" s="280"/>
      <c r="M137" s="280"/>
    </row>
    <row r="138" spans="10:13" ht="15" customHeight="1">
      <c r="J138" s="280"/>
      <c r="K138" s="280"/>
      <c r="M138" s="280"/>
    </row>
    <row r="139" spans="10:13" ht="15" customHeight="1">
      <c r="J139" s="280"/>
      <c r="K139" s="280"/>
      <c r="M139" s="280"/>
    </row>
    <row r="140" spans="10:13" ht="15" customHeight="1">
      <c r="J140" s="280"/>
      <c r="K140" s="280"/>
      <c r="M140" s="280"/>
    </row>
    <row r="141" spans="10:13" ht="15" customHeight="1">
      <c r="J141" s="280"/>
      <c r="K141" s="280"/>
      <c r="M141" s="280"/>
    </row>
    <row r="142" spans="10:13" ht="15" customHeight="1">
      <c r="J142" s="280"/>
      <c r="K142" s="280"/>
      <c r="M142" s="280"/>
    </row>
    <row r="143" spans="10:13" ht="15" customHeight="1">
      <c r="J143" s="280"/>
      <c r="K143" s="280"/>
      <c r="M143" s="280"/>
    </row>
    <row r="144" spans="10:13" ht="15" customHeight="1">
      <c r="J144" s="280"/>
      <c r="K144" s="280"/>
      <c r="M144" s="280"/>
    </row>
    <row r="145" spans="10:13" ht="15" customHeight="1">
      <c r="J145" s="280"/>
      <c r="K145" s="280"/>
      <c r="M145" s="280"/>
    </row>
    <row r="146" spans="10:13" ht="15" customHeight="1">
      <c r="J146" s="280"/>
      <c r="K146" s="280"/>
      <c r="M146" s="280"/>
    </row>
    <row r="147" spans="10:13" ht="15" customHeight="1">
      <c r="J147" s="280"/>
      <c r="K147" s="280"/>
      <c r="M147" s="280"/>
    </row>
    <row r="148" spans="10:13" ht="15" customHeight="1">
      <c r="J148" s="240"/>
      <c r="K148" s="280"/>
      <c r="M148" s="280"/>
    </row>
    <row r="149" spans="10:13" ht="15" customHeight="1">
      <c r="J149" s="280"/>
      <c r="K149" s="280"/>
      <c r="M149" s="280"/>
    </row>
    <row r="150" spans="10:13" ht="15" customHeight="1">
      <c r="J150" s="280"/>
      <c r="K150" s="280"/>
      <c r="M150" s="280"/>
    </row>
    <row r="151" spans="10:13" ht="15" customHeight="1">
      <c r="J151" s="280"/>
      <c r="K151" s="280"/>
      <c r="M151" s="280"/>
    </row>
    <row r="152" spans="10:13" ht="15" customHeight="1">
      <c r="J152" s="280"/>
      <c r="K152" s="280"/>
      <c r="M152" s="280"/>
    </row>
    <row r="153" spans="10:13" ht="15" customHeight="1">
      <c r="J153" s="280"/>
      <c r="K153" s="280"/>
      <c r="L153" s="236"/>
      <c r="M153" s="280"/>
    </row>
    <row r="154" spans="10:13" ht="15" customHeight="1">
      <c r="J154" s="280"/>
      <c r="K154" s="280"/>
      <c r="L154" s="236"/>
      <c r="M154" s="280"/>
    </row>
    <row r="155" spans="10:13" ht="15" customHeight="1">
      <c r="J155" s="280"/>
      <c r="K155" s="280"/>
      <c r="L155" s="236"/>
      <c r="M155" s="280"/>
    </row>
    <row r="156" spans="10:13" ht="15" customHeight="1">
      <c r="J156" s="280"/>
      <c r="K156" s="280"/>
      <c r="L156" s="236"/>
      <c r="M156" s="280"/>
    </row>
    <row r="157" spans="10:13" ht="15" customHeight="1">
      <c r="J157" s="280"/>
      <c r="K157" s="280"/>
      <c r="L157" s="236"/>
      <c r="M157" s="280"/>
    </row>
    <row r="158" spans="10:13" ht="15" customHeight="1">
      <c r="J158" s="280"/>
      <c r="K158" s="280"/>
      <c r="L158" s="236"/>
      <c r="M158" s="280"/>
    </row>
    <row r="159" spans="10:13" ht="15" customHeight="1">
      <c r="J159" s="280"/>
      <c r="K159" s="280"/>
      <c r="L159" s="236"/>
      <c r="M159" s="280"/>
    </row>
    <row r="160" spans="10:13" ht="15" customHeight="1">
      <c r="J160" s="280"/>
      <c r="K160" s="280"/>
      <c r="L160" s="236"/>
      <c r="M160" s="280"/>
    </row>
    <row r="161" spans="12:12" ht="15" customHeight="1">
      <c r="L161" s="236"/>
    </row>
    <row r="162" spans="12:12" ht="15" customHeight="1">
      <c r="L162" s="236"/>
    </row>
    <row r="163" spans="12:12" ht="15" customHeight="1">
      <c r="L163" s="236"/>
    </row>
    <row r="164" spans="12:12" ht="15" customHeight="1">
      <c r="L164" s="236"/>
    </row>
    <row r="165" spans="12:12" ht="15" customHeight="1">
      <c r="L165" s="236"/>
    </row>
    <row r="184" spans="10:13" ht="15" customHeight="1">
      <c r="L184" s="142"/>
    </row>
    <row r="186" spans="10:13" ht="15" customHeight="1">
      <c r="J186" s="280"/>
      <c r="K186" s="280"/>
      <c r="L186" s="280"/>
      <c r="M186" s="280"/>
    </row>
    <row r="187" spans="10:13" ht="15" customHeight="1">
      <c r="J187" s="280"/>
      <c r="K187" s="280"/>
      <c r="L187" s="280"/>
      <c r="M187" s="280"/>
    </row>
    <row r="188" spans="10:13" ht="15" customHeight="1">
      <c r="J188" s="280"/>
      <c r="K188" s="280"/>
      <c r="L188" s="280"/>
      <c r="M188" s="280"/>
    </row>
    <row r="189" spans="10:13" ht="15" customHeight="1">
      <c r="J189" s="280"/>
      <c r="K189" s="280"/>
      <c r="L189" s="280"/>
      <c r="M189" s="280"/>
    </row>
    <row r="190" spans="10:13" ht="15" customHeight="1">
      <c r="J190" s="280"/>
      <c r="K190" s="280"/>
      <c r="L190" s="280"/>
      <c r="M190" s="280"/>
    </row>
    <row r="191" spans="10:13" ht="15" customHeight="1">
      <c r="J191" s="280"/>
      <c r="K191" s="280"/>
      <c r="L191" s="280"/>
      <c r="M191" s="280"/>
    </row>
    <row r="192" spans="10:13" ht="15" customHeight="1">
      <c r="J192" s="280"/>
      <c r="K192" s="280"/>
      <c r="L192" s="280"/>
      <c r="M192" s="280"/>
    </row>
    <row r="193" spans="10:13" ht="15" customHeight="1">
      <c r="J193" s="280"/>
      <c r="K193" s="280"/>
      <c r="L193" s="280"/>
      <c r="M193" s="280"/>
    </row>
    <row r="194" spans="10:13" ht="15" customHeight="1">
      <c r="J194" s="280"/>
      <c r="K194" s="280"/>
      <c r="L194" s="280"/>
      <c r="M194" s="280"/>
    </row>
    <row r="195" spans="10:13" ht="15" customHeight="1">
      <c r="J195" s="280"/>
      <c r="K195" s="280"/>
      <c r="L195" s="280"/>
      <c r="M195" s="280"/>
    </row>
    <row r="196" spans="10:13" ht="15" customHeight="1">
      <c r="J196" s="280"/>
      <c r="K196" s="280"/>
      <c r="M196" s="280"/>
    </row>
    <row r="197" spans="10:13" ht="15" customHeight="1">
      <c r="J197" s="280"/>
      <c r="K197" s="280"/>
      <c r="M197" s="280"/>
    </row>
    <row r="198" spans="10:13" ht="15" customHeight="1">
      <c r="J198" s="280"/>
      <c r="K198" s="280"/>
      <c r="M198" s="280"/>
    </row>
    <row r="199" spans="10:13" ht="15" customHeight="1">
      <c r="J199" s="280"/>
      <c r="K199" s="280"/>
      <c r="M199" s="280"/>
    </row>
    <row r="200" spans="10:13" ht="15" customHeight="1">
      <c r="J200" s="280"/>
      <c r="K200" s="280"/>
      <c r="M200" s="280"/>
    </row>
    <row r="201" spans="10:13" ht="15" customHeight="1">
      <c r="J201" s="280"/>
      <c r="K201" s="280"/>
      <c r="M201" s="280"/>
    </row>
    <row r="202" spans="10:13" ht="15" customHeight="1">
      <c r="J202" s="280"/>
      <c r="K202" s="280"/>
      <c r="M202" s="280"/>
    </row>
    <row r="203" spans="10:13" ht="15" customHeight="1">
      <c r="J203" s="280"/>
      <c r="K203" s="280"/>
      <c r="M203" s="280"/>
    </row>
    <row r="204" spans="10:13" ht="15" customHeight="1">
      <c r="J204" s="280"/>
      <c r="K204" s="280"/>
      <c r="M204" s="280"/>
    </row>
  </sheetData>
  <phoneticPr fontId="0" type="noConversion"/>
  <printOptions horizontalCentered="1" verticalCentered="1"/>
  <pageMargins left="0.75" right="0.75" top="0.39370078740157483" bottom="0.19685039370078741" header="0" footer="0"/>
  <pageSetup orientation="portrait" r:id="rId1"/>
  <headerFooter alignWithMargins="0">
    <oddFooter>&amp;R&amp;D  - 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92D050"/>
  </sheetPr>
  <dimension ref="A2:I69"/>
  <sheetViews>
    <sheetView showGridLines="0" topLeftCell="A28" zoomScale="90" zoomScaleNormal="90" workbookViewId="0">
      <selection activeCell="D36" sqref="D36:D37"/>
    </sheetView>
  </sheetViews>
  <sheetFormatPr baseColWidth="10" defaultColWidth="11.44140625" defaultRowHeight="13.8"/>
  <cols>
    <col min="1" max="1" width="10.44140625" style="110" customWidth="1"/>
    <col min="2" max="2" width="56.6640625" style="128" customWidth="1"/>
    <col min="3" max="3" width="7.6640625" style="128" customWidth="1"/>
    <col min="4" max="5" width="14.44140625" style="128" customWidth="1"/>
    <col min="6" max="6" width="8" style="128" customWidth="1"/>
    <col min="7" max="7" width="12.5546875" style="294" bestFit="1" customWidth="1"/>
    <col min="8" max="8" width="11.44140625" style="299"/>
    <col min="9" max="9" width="11.44140625" style="110"/>
    <col min="10" max="10" width="13" style="110" bestFit="1" customWidth="1"/>
    <col min="11" max="16384" width="11.44140625" style="110"/>
  </cols>
  <sheetData>
    <row r="2" spans="1:9" ht="21.75" customHeight="1" thickBot="1"/>
    <row r="3" spans="1:9" s="101" customFormat="1" ht="18" customHeight="1">
      <c r="A3" s="127"/>
      <c r="B3" s="464" t="s">
        <v>105</v>
      </c>
      <c r="C3" s="466" t="s">
        <v>106</v>
      </c>
      <c r="D3" s="56">
        <v>45291</v>
      </c>
      <c r="E3" s="57">
        <v>44926</v>
      </c>
      <c r="F3" s="129"/>
      <c r="G3" s="468" t="s">
        <v>238</v>
      </c>
      <c r="H3" s="469"/>
    </row>
    <row r="4" spans="1:9" s="101" customFormat="1" ht="18" customHeight="1">
      <c r="A4" s="102"/>
      <c r="B4" s="465"/>
      <c r="C4" s="467"/>
      <c r="D4" s="58" t="s">
        <v>8</v>
      </c>
      <c r="E4" s="59" t="s">
        <v>8</v>
      </c>
      <c r="F4" s="130"/>
      <c r="G4" s="315" t="s">
        <v>8</v>
      </c>
      <c r="H4" s="316" t="s">
        <v>70</v>
      </c>
    </row>
    <row r="5" spans="1:9" s="101" customFormat="1" ht="21" customHeight="1">
      <c r="A5" s="102"/>
      <c r="B5" s="60" t="s">
        <v>107</v>
      </c>
      <c r="C5" s="61"/>
      <c r="D5" s="62"/>
      <c r="E5" s="63"/>
      <c r="F5" s="131"/>
      <c r="G5" s="295"/>
      <c r="H5" s="317"/>
    </row>
    <row r="6" spans="1:9" s="101" customFormat="1" ht="21" customHeight="1">
      <c r="A6" s="102"/>
      <c r="B6" s="64" t="s">
        <v>108</v>
      </c>
      <c r="C6" s="61">
        <f>+VLOOKUP(B6,[8]Activo!$B$2:$E$28,2,0)</f>
        <v>4</v>
      </c>
      <c r="D6" s="300">
        <f>+VLOOKUP(B6,[8]Activo!$B$2:$E$28,3,0)</f>
        <v>109156681</v>
      </c>
      <c r="E6" s="300">
        <f>+VLOOKUP(B6,[8]Activo!$B$2:$E$28,4,0)</f>
        <v>179335341</v>
      </c>
      <c r="F6" s="132"/>
      <c r="G6" s="295">
        <f>ROUND(+(D6-E6),0)</f>
        <v>-70178660</v>
      </c>
      <c r="H6" s="317">
        <f>IFERROR(G6/E6,1)</f>
        <v>-0.39132643687894181</v>
      </c>
      <c r="I6" s="101" t="s">
        <v>333</v>
      </c>
    </row>
    <row r="7" spans="1:9" s="101" customFormat="1" ht="21" customHeight="1">
      <c r="A7" s="102"/>
      <c r="B7" s="64" t="s">
        <v>246</v>
      </c>
      <c r="C7" s="61">
        <f>+VLOOKUP(B7,[8]Activo!$B$2:$E$28,2,0)</f>
        <v>10</v>
      </c>
      <c r="D7" s="300">
        <f>+VLOOKUP(B7,[8]Activo!$B$2:$E$28,3,0)</f>
        <v>0</v>
      </c>
      <c r="E7" s="300">
        <f>+VLOOKUP(B7,[8]Activo!$B$2:$E$28,4,0)</f>
        <v>0</v>
      </c>
      <c r="F7" s="132"/>
      <c r="G7" s="295">
        <f t="shared" ref="G7:G12" si="0">ROUND(+(D7-E7),0)</f>
        <v>0</v>
      </c>
      <c r="H7" s="317">
        <f t="shared" ref="H7:H54" si="1">IFERROR(G7/E7,1)</f>
        <v>1</v>
      </c>
      <c r="I7" s="101" t="s">
        <v>334</v>
      </c>
    </row>
    <row r="8" spans="1:9" s="101" customFormat="1" ht="21" customHeight="1">
      <c r="A8" s="102"/>
      <c r="B8" s="64" t="s">
        <v>109</v>
      </c>
      <c r="C8" s="61">
        <f>+VLOOKUP(B8,[8]Activo!$B$2:$E$28,2,0)</f>
        <v>0</v>
      </c>
      <c r="D8" s="300">
        <f>+VLOOKUP(B8,[8]Activo!$B$2:$E$28,3,0)</f>
        <v>7180555</v>
      </c>
      <c r="E8" s="300">
        <f>+VLOOKUP(B8,[8]Activo!$B$2:$E$28,4,0)</f>
        <v>4986319</v>
      </c>
      <c r="F8" s="132"/>
      <c r="G8" s="295">
        <f t="shared" si="0"/>
        <v>2194236</v>
      </c>
      <c r="H8" s="317">
        <f t="shared" si="1"/>
        <v>0.44005126828026847</v>
      </c>
      <c r="I8" s="298"/>
    </row>
    <row r="9" spans="1:9" s="101" customFormat="1" ht="21" customHeight="1">
      <c r="A9" s="102"/>
      <c r="B9" s="64" t="s">
        <v>110</v>
      </c>
      <c r="C9" s="61">
        <f>+VLOOKUP(B9,[8]Activo!$B$2:$E$28,2,0)</f>
        <v>5</v>
      </c>
      <c r="D9" s="413">
        <f>+VLOOKUP(B9,[8]Activo!$B$2:$E$28,3,0)</f>
        <v>132007468</v>
      </c>
      <c r="E9" s="300">
        <f>+VLOOKUP(B9,[8]Activo!$B$2:$E$28,4,0)</f>
        <v>122777327</v>
      </c>
      <c r="F9" s="132"/>
      <c r="G9" s="295">
        <f t="shared" si="0"/>
        <v>9230141</v>
      </c>
      <c r="H9" s="317">
        <f t="shared" si="1"/>
        <v>7.5177895019656188E-2</v>
      </c>
      <c r="I9" s="101" t="s">
        <v>335</v>
      </c>
    </row>
    <row r="10" spans="1:9" s="101" customFormat="1" ht="21" customHeight="1">
      <c r="A10" s="102"/>
      <c r="B10" s="64" t="s">
        <v>111</v>
      </c>
      <c r="C10" s="61">
        <f>+VLOOKUP(B10,[8]Activo!$B$2:$E$28,2,0)</f>
        <v>6</v>
      </c>
      <c r="D10" s="413">
        <f>+VLOOKUP(B10,[8]Activo!$B$2:$E$28,3,0)</f>
        <v>14381</v>
      </c>
      <c r="E10" s="300">
        <f>+VLOOKUP(B10,[8]Activo!$B$2:$E$28,4,0)</f>
        <v>23032</v>
      </c>
      <c r="F10" s="132"/>
      <c r="G10" s="295">
        <f t="shared" si="0"/>
        <v>-8651</v>
      </c>
      <c r="H10" s="317">
        <f t="shared" si="1"/>
        <v>-0.37560784994789859</v>
      </c>
    </row>
    <row r="11" spans="1:9" s="101" customFormat="1" ht="21" customHeight="1">
      <c r="A11" s="102"/>
      <c r="B11" s="64" t="s">
        <v>112</v>
      </c>
      <c r="C11" s="61">
        <f>+VLOOKUP(B11,[8]Activo!$B$2:$E$28,2,0)</f>
        <v>7</v>
      </c>
      <c r="D11" s="300">
        <f>+VLOOKUP(B11,[8]Activo!$B$2:$E$28,3,0)</f>
        <v>12812483</v>
      </c>
      <c r="E11" s="300">
        <f>+VLOOKUP(B11,[8]Activo!$B$2:$E$28,4,0)</f>
        <v>12790532</v>
      </c>
      <c r="F11" s="132"/>
      <c r="G11" s="295">
        <f t="shared" si="0"/>
        <v>21951</v>
      </c>
      <c r="H11" s="317">
        <f t="shared" si="1"/>
        <v>1.71619132026721E-3</v>
      </c>
      <c r="I11" s="101" t="s">
        <v>336</v>
      </c>
    </row>
    <row r="12" spans="1:9" s="101" customFormat="1" ht="21" customHeight="1" thickBot="1">
      <c r="A12" s="102"/>
      <c r="B12" s="64" t="s">
        <v>357</v>
      </c>
      <c r="C12" s="61">
        <f>+VLOOKUP(B12,[8]Activo!$B$2:$E$28,2,0)</f>
        <v>8</v>
      </c>
      <c r="D12" s="300">
        <f>+VLOOKUP(B12,[8]Activo!$B$2:$E$28,3,0)</f>
        <v>13829428</v>
      </c>
      <c r="E12" s="300">
        <f>+VLOOKUP(B12,[8]Activo!$B$2:$E$28,4,0)</f>
        <v>2113281</v>
      </c>
      <c r="F12" s="132"/>
      <c r="G12" s="295">
        <f t="shared" si="0"/>
        <v>11716147</v>
      </c>
      <c r="H12" s="317">
        <f t="shared" si="1"/>
        <v>5.5440554285019363</v>
      </c>
    </row>
    <row r="13" spans="1:9" s="101" customFormat="1" ht="36" customHeight="1" thickBot="1">
      <c r="A13" s="102"/>
      <c r="B13" s="66" t="s">
        <v>113</v>
      </c>
      <c r="C13" s="67"/>
      <c r="D13" s="302">
        <f>SUM(D6:D12)</f>
        <v>275000996</v>
      </c>
      <c r="E13" s="303">
        <f>SUM(E6:E12)</f>
        <v>322025832</v>
      </c>
      <c r="F13" s="133"/>
      <c r="G13" s="318">
        <f>ROUND(+(D13-E13),0)</f>
        <v>-47024836</v>
      </c>
      <c r="H13" s="319">
        <f t="shared" si="1"/>
        <v>-0.14602814844990447</v>
      </c>
    </row>
    <row r="14" spans="1:9" s="101" customFormat="1" ht="21" customHeight="1" thickBot="1">
      <c r="A14" s="102"/>
      <c r="B14" s="64" t="s">
        <v>358</v>
      </c>
      <c r="C14" s="61">
        <f>+VLOOKUP(B14,[8]Activo!$B$2:$E$28,2,0)</f>
        <v>9</v>
      </c>
      <c r="D14" s="300">
        <f>+VLOOKUP(B14,[8]Activo!$B$2:$E$28,3,0)</f>
        <v>3414</v>
      </c>
      <c r="E14" s="300">
        <f>+VLOOKUP(B14,[8]Activo!$B$2:$E$28,4,0)</f>
        <v>2812292</v>
      </c>
      <c r="F14" s="132"/>
      <c r="G14" s="295"/>
      <c r="H14" s="317">
        <f t="shared" si="1"/>
        <v>0</v>
      </c>
    </row>
    <row r="15" spans="1:9" s="101" customFormat="1" ht="21" customHeight="1" thickBot="1">
      <c r="A15" s="102"/>
      <c r="B15" s="68" t="s">
        <v>114</v>
      </c>
      <c r="C15" s="67"/>
      <c r="D15" s="304">
        <f>+D13+D14</f>
        <v>275004410</v>
      </c>
      <c r="E15" s="305">
        <f>+E13+E14</f>
        <v>324838124</v>
      </c>
      <c r="F15" s="135"/>
      <c r="G15" s="318">
        <f>ROUND(+(D15-E15),0)</f>
        <v>-49833714</v>
      </c>
      <c r="H15" s="319">
        <f t="shared" si="1"/>
        <v>-0.1534109155241889</v>
      </c>
    </row>
    <row r="16" spans="1:9" s="101" customFormat="1" ht="21" customHeight="1">
      <c r="A16" s="102"/>
      <c r="B16" s="60" t="s">
        <v>282</v>
      </c>
      <c r="C16" s="69"/>
      <c r="D16" s="306"/>
      <c r="E16" s="307"/>
      <c r="F16" s="133"/>
      <c r="G16" s="295"/>
      <c r="H16" s="317"/>
    </row>
    <row r="17" spans="1:8" s="101" customFormat="1" ht="21" customHeight="1">
      <c r="A17" s="102"/>
      <c r="B17" s="64" t="s">
        <v>368</v>
      </c>
      <c r="C17" s="61">
        <f>+VLOOKUP(B17,[8]Activo!$B$2:$E$28,2,0)</f>
        <v>10</v>
      </c>
      <c r="D17" s="300">
        <f>+VLOOKUP(B17,[8]Activo!$B$2:$E$28,3,0)</f>
        <v>7895863</v>
      </c>
      <c r="E17" s="300">
        <f>+VLOOKUP(B17,[8]Activo!$B$2:$E$28,4,0)</f>
        <v>7895863</v>
      </c>
      <c r="F17" s="132"/>
      <c r="G17" s="295">
        <f t="shared" ref="G17:G26" si="2">ROUND(+(D17-E17),0)</f>
        <v>0</v>
      </c>
      <c r="H17" s="317">
        <f t="shared" si="1"/>
        <v>0</v>
      </c>
    </row>
    <row r="18" spans="1:8" s="101" customFormat="1" ht="21" customHeight="1">
      <c r="A18" s="102"/>
      <c r="B18" s="64" t="s">
        <v>367</v>
      </c>
      <c r="C18" s="61">
        <f>+VLOOKUP(B18,[8]Activo!$B$2:$E$28,2,0)</f>
        <v>0</v>
      </c>
      <c r="D18" s="300">
        <f>+VLOOKUP(B18,[8]Activo!$B$2:$E$28,3,0)</f>
        <v>1481897</v>
      </c>
      <c r="E18" s="300">
        <f>+VLOOKUP(B18,[8]Activo!$B$2:$E$28,4,0)</f>
        <v>1212641</v>
      </c>
      <c r="F18" s="132"/>
      <c r="G18" s="295">
        <f t="shared" si="2"/>
        <v>269256</v>
      </c>
      <c r="H18" s="317">
        <f t="shared" si="1"/>
        <v>0.22204098327534694</v>
      </c>
    </row>
    <row r="19" spans="1:8" s="101" customFormat="1" ht="21" customHeight="1">
      <c r="A19" s="102"/>
      <c r="B19" s="64" t="s">
        <v>247</v>
      </c>
      <c r="C19" s="61">
        <f>+VLOOKUP(B19,[8]Activo!$B$2:$E$28,2,0)</f>
        <v>5</v>
      </c>
      <c r="D19" s="300">
        <f>+VLOOKUP(B19,[8]Activo!$B$2:$E$28,3,0)</f>
        <v>3778724</v>
      </c>
      <c r="E19" s="300">
        <f>+VLOOKUP(B19,[8]Activo!$B$2:$E$28,4,0)</f>
        <v>2816288</v>
      </c>
      <c r="F19" s="132"/>
      <c r="G19" s="295">
        <f t="shared" si="2"/>
        <v>962436</v>
      </c>
      <c r="H19" s="317">
        <f t="shared" si="1"/>
        <v>0.34173919712756651</v>
      </c>
    </row>
    <row r="20" spans="1:8" s="101" customFormat="1" ht="21" customHeight="1">
      <c r="A20" s="102"/>
      <c r="B20" s="64" t="s">
        <v>307</v>
      </c>
      <c r="C20" s="61">
        <f>+VLOOKUP(B20,[8]Activo!$B$2:$E$28,2,0)</f>
        <v>0</v>
      </c>
      <c r="D20" s="300">
        <f>+VLOOKUP(B20,[8]Activo!$B$2:$E$28,3,0)</f>
        <v>0</v>
      </c>
      <c r="E20" s="300">
        <f>+VLOOKUP(B20,[8]Activo!$B$2:$E$28,4,0)</f>
        <v>0</v>
      </c>
      <c r="F20" s="132"/>
      <c r="G20" s="295"/>
      <c r="H20" s="317"/>
    </row>
    <row r="21" spans="1:8" s="101" customFormat="1" ht="21" customHeight="1">
      <c r="A21" s="102"/>
      <c r="B21" s="64" t="s">
        <v>115</v>
      </c>
      <c r="C21" s="61">
        <f>+VLOOKUP(B21,[8]Activo!$B$2:$E$28,2,0)</f>
        <v>11</v>
      </c>
      <c r="D21" s="300">
        <f>+VLOOKUP(B21,[8]Activo!$B$2:$E$28,3,0)</f>
        <v>231747713</v>
      </c>
      <c r="E21" s="300">
        <f>+VLOOKUP(B21,[8]Activo!$B$2:$E$28,4,0)</f>
        <v>233018981</v>
      </c>
      <c r="F21" s="132"/>
      <c r="G21" s="295">
        <f t="shared" si="2"/>
        <v>-1271268</v>
      </c>
      <c r="H21" s="317">
        <f t="shared" si="1"/>
        <v>-5.4556414011612212E-3</v>
      </c>
    </row>
    <row r="22" spans="1:8" s="101" customFormat="1" ht="21" customHeight="1">
      <c r="A22" s="102"/>
      <c r="B22" s="64" t="s">
        <v>116</v>
      </c>
      <c r="C22" s="61">
        <f>+VLOOKUP(B22,[8]Activo!$B$2:$E$28,2,0)</f>
        <v>12</v>
      </c>
      <c r="D22" s="300">
        <f>+VLOOKUP(B22,[8]Activo!$B$2:$E$28,3,0)</f>
        <v>33823049</v>
      </c>
      <c r="E22" s="300">
        <f>+VLOOKUP(B22,[8]Activo!$B$2:$E$28,4,0)</f>
        <v>33823049</v>
      </c>
      <c r="F22" s="132"/>
      <c r="G22" s="295">
        <f t="shared" si="2"/>
        <v>0</v>
      </c>
      <c r="H22" s="317">
        <f t="shared" si="1"/>
        <v>0</v>
      </c>
    </row>
    <row r="23" spans="1:8" s="101" customFormat="1" ht="21" customHeight="1">
      <c r="A23" s="102"/>
      <c r="B23" s="64" t="s">
        <v>359</v>
      </c>
      <c r="C23" s="61">
        <f>+VLOOKUP(B23,[8]Activo!$B$2:$E$28,2,0)</f>
        <v>13</v>
      </c>
      <c r="D23" s="300">
        <f>+VLOOKUP(B23,[8]Activo!$B$2:$E$28,3,0)</f>
        <v>1805370932</v>
      </c>
      <c r="E23" s="300">
        <f>+VLOOKUP(B23,[8]Activo!$B$2:$E$28,4,0)</f>
        <v>1713896622</v>
      </c>
      <c r="F23" s="132"/>
      <c r="G23" s="295">
        <f t="shared" si="2"/>
        <v>91474310</v>
      </c>
      <c r="H23" s="317">
        <f t="shared" si="1"/>
        <v>5.3372128065259705E-2</v>
      </c>
    </row>
    <row r="24" spans="1:8" s="101" customFormat="1" ht="21" customHeight="1">
      <c r="A24" s="102"/>
      <c r="B24" s="64" t="s">
        <v>294</v>
      </c>
      <c r="C24" s="61">
        <f>+VLOOKUP(B24,[8]Activo!$B$2:$E$28,2,0)</f>
        <v>14</v>
      </c>
      <c r="D24" s="300">
        <f>+VLOOKUP(B24,[8]Activo!$B$2:$E$28,3,0)</f>
        <v>4307072</v>
      </c>
      <c r="E24" s="300">
        <f>+VLOOKUP(B24,[8]Activo!$B$2:$E$28,4,0)</f>
        <v>3987629</v>
      </c>
      <c r="F24" s="132"/>
      <c r="G24" s="295">
        <f t="shared" ref="G24" si="3">ROUND(+(D24-E24),0)</f>
        <v>319443</v>
      </c>
      <c r="H24" s="317">
        <f t="shared" ref="H24" si="4">IFERROR(G24/E24,1)</f>
        <v>8.0108505580634509E-2</v>
      </c>
    </row>
    <row r="25" spans="1:8" s="101" customFormat="1" ht="21" customHeight="1" thickBot="1">
      <c r="A25" s="102"/>
      <c r="B25" s="64" t="s">
        <v>360</v>
      </c>
      <c r="C25" s="61">
        <f>+VLOOKUP(B25,[8]Activo!$B$2:$E$28,2,0)</f>
        <v>15</v>
      </c>
      <c r="D25" s="300">
        <f>+VLOOKUP(B25,[8]Activo!$B$2:$E$28,3,0)</f>
        <v>59938069</v>
      </c>
      <c r="E25" s="300">
        <f>+VLOOKUP(B25,[8]Activo!$B$2:$E$28,4,0)</f>
        <v>57860363</v>
      </c>
      <c r="F25" s="132"/>
      <c r="G25" s="295">
        <f t="shared" si="2"/>
        <v>2077706</v>
      </c>
      <c r="H25" s="317">
        <f t="shared" si="1"/>
        <v>3.5908969323265393E-2</v>
      </c>
    </row>
    <row r="26" spans="1:8" s="101" customFormat="1" ht="21" customHeight="1" thickBot="1">
      <c r="A26" s="102"/>
      <c r="B26" s="70" t="s">
        <v>117</v>
      </c>
      <c r="C26" s="67"/>
      <c r="D26" s="302">
        <f>SUM(D17:D25)</f>
        <v>2148343319</v>
      </c>
      <c r="E26" s="303">
        <f>SUM(E17:E25)</f>
        <v>2054511436</v>
      </c>
      <c r="F26" s="133"/>
      <c r="G26" s="318">
        <f t="shared" si="2"/>
        <v>93831883</v>
      </c>
      <c r="H26" s="319">
        <f t="shared" si="1"/>
        <v>4.5671141739996625E-2</v>
      </c>
    </row>
    <row r="27" spans="1:8" s="102" customFormat="1" ht="11.25" customHeight="1" thickBot="1">
      <c r="A27" s="134"/>
      <c r="B27" s="64"/>
      <c r="C27" s="65"/>
      <c r="D27" s="300"/>
      <c r="E27" s="301"/>
      <c r="F27" s="132"/>
      <c r="G27" s="295"/>
      <c r="H27" s="317"/>
    </row>
    <row r="28" spans="1:8" s="101" customFormat="1" ht="21" customHeight="1" thickBot="1">
      <c r="B28" s="71" t="s">
        <v>248</v>
      </c>
      <c r="C28" s="72"/>
      <c r="D28" s="308">
        <f>+D15+D26</f>
        <v>2423347729</v>
      </c>
      <c r="E28" s="309">
        <f>+E15+E26</f>
        <v>2379349560</v>
      </c>
      <c r="F28" s="133"/>
      <c r="G28" s="318">
        <f>ROUND(+(D28-E28),0)</f>
        <v>43998169</v>
      </c>
      <c r="H28" s="319">
        <f t="shared" si="1"/>
        <v>1.8491679297429505E-2</v>
      </c>
    </row>
    <row r="29" spans="1:8">
      <c r="B29" s="136"/>
      <c r="C29" s="137"/>
      <c r="D29" s="138"/>
      <c r="E29" s="138"/>
      <c r="F29" s="138"/>
      <c r="G29" s="297"/>
      <c r="H29" s="317"/>
    </row>
    <row r="30" spans="1:8" ht="14.4" thickBot="1">
      <c r="B30" s="136"/>
      <c r="C30" s="137"/>
      <c r="D30" s="138"/>
      <c r="E30" s="138"/>
      <c r="F30" s="138"/>
      <c r="G30" s="297"/>
      <c r="H30" s="317"/>
    </row>
    <row r="31" spans="1:8" s="101" customFormat="1" ht="20.25" customHeight="1">
      <c r="A31" s="127"/>
      <c r="B31" s="464" t="s">
        <v>118</v>
      </c>
      <c r="C31" s="466" t="s">
        <v>106</v>
      </c>
      <c r="D31" s="56">
        <f>+D3</f>
        <v>45291</v>
      </c>
      <c r="E31" s="57">
        <f>+E3</f>
        <v>44926</v>
      </c>
      <c r="G31" s="295"/>
      <c r="H31" s="317"/>
    </row>
    <row r="32" spans="1:8" s="101" customFormat="1" ht="18" customHeight="1">
      <c r="A32" s="102"/>
      <c r="B32" s="465"/>
      <c r="C32" s="467"/>
      <c r="D32" s="58" t="s">
        <v>8</v>
      </c>
      <c r="E32" s="59" t="s">
        <v>8</v>
      </c>
      <c r="G32" s="295"/>
      <c r="H32" s="317"/>
    </row>
    <row r="33" spans="1:9" s="101" customFormat="1" ht="18" customHeight="1">
      <c r="A33" s="102"/>
      <c r="B33" s="60" t="s">
        <v>119</v>
      </c>
      <c r="C33" s="73"/>
      <c r="D33" s="62"/>
      <c r="E33" s="63"/>
      <c r="G33" s="295"/>
      <c r="H33" s="317"/>
    </row>
    <row r="34" spans="1:9" s="102" customFormat="1" ht="18" customHeight="1">
      <c r="B34" s="64" t="s">
        <v>371</v>
      </c>
      <c r="C34" s="61">
        <f>+VLOOKUP(B34,[8]Pasivo!$B$2:$E$38,2,0)</f>
        <v>16</v>
      </c>
      <c r="D34" s="300">
        <f>+VLOOKUP(B34,[8]Pasivo!$B$2:$E$38,3,0)</f>
        <v>155416801</v>
      </c>
      <c r="E34" s="300">
        <f>+VLOOKUP(B34,[8]Pasivo!$B$2:$E$38,4,0)</f>
        <v>74347139</v>
      </c>
      <c r="F34" s="101"/>
      <c r="G34" s="295">
        <f t="shared" ref="G34:G42" si="5">ROUND(+(D34-E34),0)</f>
        <v>81069662</v>
      </c>
      <c r="H34" s="317">
        <f t="shared" si="1"/>
        <v>1.090420735625079</v>
      </c>
      <c r="I34" s="102" t="s">
        <v>337</v>
      </c>
    </row>
    <row r="35" spans="1:9" s="102" customFormat="1" ht="18" customHeight="1">
      <c r="B35" s="64" t="s">
        <v>295</v>
      </c>
      <c r="C35" s="61">
        <f>+VLOOKUP(B35,[8]Pasivo!$B$2:$E$38,2,0)</f>
        <v>14</v>
      </c>
      <c r="D35" s="300">
        <f>+VLOOKUP(B35,[8]Pasivo!$B$2:$E$38,3,0)</f>
        <v>1752912</v>
      </c>
      <c r="E35" s="300">
        <f>+VLOOKUP(B35,[8]Pasivo!$B$2:$E$38,4,0)</f>
        <v>1394430</v>
      </c>
      <c r="F35" s="101"/>
      <c r="G35" s="295">
        <f t="shared" ref="G35" si="6">ROUND(+(D35-E35),0)</f>
        <v>358482</v>
      </c>
      <c r="H35" s="317">
        <f t="shared" ref="H35" si="7">IFERROR(G35/E35,1)</f>
        <v>0.25708138809405995</v>
      </c>
    </row>
    <row r="36" spans="1:9" s="102" customFormat="1" ht="18" customHeight="1">
      <c r="B36" s="64" t="s">
        <v>361</v>
      </c>
      <c r="C36" s="61">
        <f>+VLOOKUP(B36,[8]Pasivo!$B$2:$E$38,2,0)</f>
        <v>17</v>
      </c>
      <c r="D36" s="413">
        <f>+VLOOKUP(B36,[8]Pasivo!$B$2:$E$38,3,0)</f>
        <v>177288051</v>
      </c>
      <c r="E36" s="300">
        <f>+VLOOKUP(B36,[8]Pasivo!$B$2:$E$38,4,0)</f>
        <v>138331675</v>
      </c>
      <c r="F36" s="101"/>
      <c r="G36" s="295">
        <f t="shared" si="5"/>
        <v>38956376</v>
      </c>
      <c r="H36" s="317">
        <f t="shared" si="1"/>
        <v>0.28161573262233686</v>
      </c>
      <c r="I36" s="101" t="s">
        <v>338</v>
      </c>
    </row>
    <row r="37" spans="1:9" s="102" customFormat="1" ht="18" customHeight="1">
      <c r="B37" s="64" t="s">
        <v>120</v>
      </c>
      <c r="C37" s="61">
        <f>+VLOOKUP(B37,[8]Pasivo!$B$2:$E$38,2,0)</f>
        <v>6</v>
      </c>
      <c r="D37" s="413">
        <f>+VLOOKUP(B37,[8]Pasivo!$B$2:$E$38,3,0)</f>
        <v>1578553</v>
      </c>
      <c r="E37" s="300">
        <f>+VLOOKUP(B37,[8]Pasivo!$B$2:$E$38,4,0)</f>
        <v>5002103</v>
      </c>
      <c r="F37" s="101"/>
      <c r="G37" s="295">
        <f t="shared" si="5"/>
        <v>-3423550</v>
      </c>
      <c r="H37" s="317">
        <f t="shared" si="1"/>
        <v>-0.68442213205125924</v>
      </c>
    </row>
    <row r="38" spans="1:9" s="102" customFormat="1" ht="18" customHeight="1">
      <c r="B38" s="64" t="s">
        <v>124</v>
      </c>
      <c r="C38" s="61">
        <f>+VLOOKUP(B38,[8]Pasivo!$B$2:$E$38,2,0)</f>
        <v>18</v>
      </c>
      <c r="D38" s="300">
        <f>+VLOOKUP(B38,[8]Pasivo!$B$2:$E$38,3,0)</f>
        <v>735780</v>
      </c>
      <c r="E38" s="300">
        <f>+VLOOKUP(B38,[8]Pasivo!$B$2:$E$38,4,0)</f>
        <v>17987682</v>
      </c>
      <c r="F38" s="101"/>
      <c r="G38" s="295">
        <f t="shared" si="5"/>
        <v>-17251902</v>
      </c>
      <c r="H38" s="317">
        <f t="shared" si="1"/>
        <v>-0.95909534091163051</v>
      </c>
    </row>
    <row r="39" spans="1:9" s="102" customFormat="1" ht="18" customHeight="1">
      <c r="B39" s="64" t="s">
        <v>121</v>
      </c>
      <c r="C39" s="61">
        <f>+VLOOKUP(B39,[8]Pasivo!$B$2:$E$38,2,0)</f>
        <v>8</v>
      </c>
      <c r="D39" s="300">
        <f>+VLOOKUP(B39,[8]Pasivo!$B$2:$E$38,3,0)</f>
        <v>240748</v>
      </c>
      <c r="E39" s="300">
        <f>+VLOOKUP(B39,[8]Pasivo!$B$2:$E$38,4,0)</f>
        <v>4796613</v>
      </c>
      <c r="F39" s="101"/>
      <c r="G39" s="295">
        <f t="shared" si="5"/>
        <v>-4555865</v>
      </c>
      <c r="H39" s="317">
        <f t="shared" si="1"/>
        <v>-0.94980875046621438</v>
      </c>
    </row>
    <row r="40" spans="1:9" s="102" customFormat="1" ht="18" customHeight="1">
      <c r="B40" s="64" t="s">
        <v>362</v>
      </c>
      <c r="C40" s="61">
        <f>+VLOOKUP(B40,[8]Pasivo!$B$2:$E$38,2,0)</f>
        <v>19</v>
      </c>
      <c r="D40" s="300">
        <f>+VLOOKUP(B40,[8]Pasivo!$B$2:$E$38,3,0)</f>
        <v>5955720</v>
      </c>
      <c r="E40" s="300">
        <f>+VLOOKUP(B40,[8]Pasivo!$B$2:$E$38,4,0)</f>
        <v>5665126</v>
      </c>
      <c r="F40" s="101"/>
      <c r="G40" s="295">
        <f t="shared" si="5"/>
        <v>290594</v>
      </c>
      <c r="H40" s="317">
        <f t="shared" si="1"/>
        <v>5.129524038829851E-2</v>
      </c>
    </row>
    <row r="41" spans="1:9" s="102" customFormat="1" ht="18" customHeight="1" thickBot="1">
      <c r="B41" s="64" t="s">
        <v>237</v>
      </c>
      <c r="C41" s="61">
        <f>+VLOOKUP(B41,[8]Pasivo!$B$2:$E$38,2,0)</f>
        <v>20</v>
      </c>
      <c r="D41" s="300">
        <f>+VLOOKUP(B41,[8]Pasivo!$B$2:$E$38,3,0)</f>
        <v>18699561</v>
      </c>
      <c r="E41" s="300">
        <f>+VLOOKUP(B41,[8]Pasivo!$B$2:$E$38,4,0)</f>
        <v>18272379</v>
      </c>
      <c r="F41" s="101"/>
      <c r="G41" s="295">
        <f t="shared" si="5"/>
        <v>427182</v>
      </c>
      <c r="H41" s="317">
        <f t="shared" si="1"/>
        <v>2.3378564991455134E-2</v>
      </c>
    </row>
    <row r="42" spans="1:9" s="101" customFormat="1" ht="42" thickBot="1">
      <c r="A42" s="102"/>
      <c r="B42" s="74" t="s">
        <v>283</v>
      </c>
      <c r="C42" s="67"/>
      <c r="D42" s="302">
        <f>SUM(D34:D41)</f>
        <v>361668126</v>
      </c>
      <c r="E42" s="303">
        <f>SUM(E34:E41)</f>
        <v>265797147</v>
      </c>
      <c r="G42" s="318">
        <f t="shared" si="5"/>
        <v>95870979</v>
      </c>
      <c r="H42" s="319">
        <f t="shared" si="1"/>
        <v>0.36069228011691185</v>
      </c>
    </row>
    <row r="43" spans="1:9" s="102" customFormat="1" ht="21.75" customHeight="1" thickBot="1">
      <c r="B43" s="64" t="s">
        <v>363</v>
      </c>
      <c r="C43" s="65"/>
      <c r="D43" s="300">
        <f>+VLOOKUP(B43,[8]Pasivo!$B$2:$E$38,3,0)</f>
        <v>0</v>
      </c>
      <c r="E43" s="300">
        <f>+VLOOKUP(B43,[8]Pasivo!$B$2:$E$38,4,0)</f>
        <v>0</v>
      </c>
      <c r="F43" s="101"/>
      <c r="G43" s="295">
        <f t="shared" ref="G43" si="8">ROUND(+(D43-E43),0)</f>
        <v>0</v>
      </c>
      <c r="H43" s="317">
        <f t="shared" ref="H43" si="9">IFERROR(G43/E43,1)</f>
        <v>1</v>
      </c>
    </row>
    <row r="44" spans="1:9" s="101" customFormat="1" ht="21" customHeight="1" thickBot="1">
      <c r="A44" s="102"/>
      <c r="B44" s="70" t="s">
        <v>122</v>
      </c>
      <c r="C44" s="75"/>
      <c r="D44" s="302">
        <f>+D42+D43</f>
        <v>361668126</v>
      </c>
      <c r="E44" s="303">
        <f>+E42+E43</f>
        <v>265797147</v>
      </c>
      <c r="G44" s="318">
        <f>ROUND(+(D44-E44),0)</f>
        <v>95870979</v>
      </c>
      <c r="H44" s="319">
        <f t="shared" si="1"/>
        <v>0.36069228011691185</v>
      </c>
    </row>
    <row r="45" spans="1:9" s="102" customFormat="1" ht="21" customHeight="1">
      <c r="B45" s="60" t="s">
        <v>123</v>
      </c>
      <c r="C45" s="73"/>
      <c r="D45" s="300"/>
      <c r="E45" s="301"/>
      <c r="F45" s="101"/>
      <c r="G45" s="295"/>
      <c r="H45" s="317"/>
    </row>
    <row r="46" spans="1:9" s="102" customFormat="1" ht="18" customHeight="1">
      <c r="B46" s="64" t="s">
        <v>370</v>
      </c>
      <c r="C46" s="61">
        <f>+VLOOKUP(B46,[8]Pasivo!$B$2:$E$38,2,0)</f>
        <v>16</v>
      </c>
      <c r="D46" s="300">
        <f>+VLOOKUP(B46,[8]Pasivo!$B$2:$E$38,3,0)</f>
        <v>1125060897</v>
      </c>
      <c r="E46" s="300">
        <f>+VLOOKUP(B46,[8]Pasivo!$B$2:$E$38,4,0)</f>
        <v>1222905987</v>
      </c>
      <c r="F46" s="101"/>
      <c r="G46" s="295">
        <f t="shared" ref="G46:G54" si="10">ROUND(+(D46-E46),0)</f>
        <v>-97845090</v>
      </c>
      <c r="H46" s="317">
        <f t="shared" si="1"/>
        <v>-8.0010312354452481E-2</v>
      </c>
    </row>
    <row r="47" spans="1:9" s="102" customFormat="1" ht="18" customHeight="1">
      <c r="B47" s="64" t="s">
        <v>372</v>
      </c>
      <c r="C47" s="61">
        <f>+VLOOKUP(B47,[8]Pasivo!$B$2:$E$38,2,0)</f>
        <v>14</v>
      </c>
      <c r="D47" s="300">
        <f>+VLOOKUP(B47,[8]Pasivo!$B$2:$E$38,3,0)</f>
        <v>2762179</v>
      </c>
      <c r="E47" s="300">
        <f>+VLOOKUP(B47,[8]Pasivo!$B$2:$E$38,4,0)</f>
        <v>2664313</v>
      </c>
      <c r="F47" s="101"/>
      <c r="G47" s="295">
        <f t="shared" ref="G47" si="11">ROUND(+(D47-E47),0)</f>
        <v>97866</v>
      </c>
      <c r="H47" s="317">
        <f t="shared" ref="H47" si="12">IFERROR(G47/E47,1)</f>
        <v>3.6732170732192503E-2</v>
      </c>
    </row>
    <row r="48" spans="1:9" s="102" customFormat="1" ht="18" customHeight="1">
      <c r="B48" s="64" t="s">
        <v>126</v>
      </c>
      <c r="C48" s="61">
        <f>+VLOOKUP(B48,[8]Pasivo!$B$2:$E$38,2,0)</f>
        <v>17</v>
      </c>
      <c r="D48" s="300">
        <f>+VLOOKUP(B48,[8]Pasivo!$B$2:$E$38,3,0)</f>
        <v>1181870</v>
      </c>
      <c r="E48" s="300">
        <f>+VLOOKUP(B48,[8]Pasivo!$B$2:$E$38,4,0)</f>
        <v>1188753</v>
      </c>
      <c r="F48" s="101"/>
      <c r="G48" s="295">
        <f t="shared" si="10"/>
        <v>-6883</v>
      </c>
      <c r="H48" s="317">
        <f t="shared" si="1"/>
        <v>-5.79010105547578E-3</v>
      </c>
    </row>
    <row r="49" spans="1:8" s="102" customFormat="1" ht="18" customHeight="1">
      <c r="B49" s="64" t="s">
        <v>369</v>
      </c>
      <c r="C49" s="61">
        <f>+VLOOKUP(B49,[8]Pasivo!$B$2:$E$38,2,0)</f>
        <v>0</v>
      </c>
      <c r="D49" s="300">
        <f>+VLOOKUP(B49,[8]Pasivo!$B$2:$E$38,3,0)</f>
        <v>0</v>
      </c>
      <c r="E49" s="300">
        <f>+VLOOKUP(B49,[8]Pasivo!$B$2:$E$38,4,0)</f>
        <v>0</v>
      </c>
      <c r="F49" s="101"/>
      <c r="G49" s="295">
        <f t="shared" ref="G49" si="13">ROUND(+(D49-E49),0)</f>
        <v>0</v>
      </c>
      <c r="H49" s="317">
        <f t="shared" ref="H49" si="14">IFERROR(G49/E49,1)</f>
        <v>1</v>
      </c>
    </row>
    <row r="50" spans="1:8" s="102" customFormat="1" ht="18" customHeight="1">
      <c r="B50" s="64" t="s">
        <v>374</v>
      </c>
      <c r="C50" s="61">
        <f>+VLOOKUP(B50,[8]Pasivo!$B$2:$E$38,2,0)</f>
        <v>18</v>
      </c>
      <c r="D50" s="300">
        <f>+VLOOKUP(B50,[8]Pasivo!$B$2:$E$38,3,0)</f>
        <v>1823379</v>
      </c>
      <c r="E50" s="300">
        <f>+VLOOKUP(B50,[8]Pasivo!$B$2:$E$38,4,0)</f>
        <v>1735643</v>
      </c>
      <c r="F50" s="101"/>
      <c r="G50" s="295">
        <f t="shared" si="10"/>
        <v>87736</v>
      </c>
      <c r="H50" s="317">
        <f t="shared" si="1"/>
        <v>5.0549565780520535E-2</v>
      </c>
    </row>
    <row r="51" spans="1:8" s="102" customFormat="1" ht="18" customHeight="1">
      <c r="B51" s="64" t="s">
        <v>125</v>
      </c>
      <c r="C51" s="61">
        <f>+VLOOKUP(B51,[8]Pasivo!$B$2:$E$38,2,0)</f>
        <v>15</v>
      </c>
      <c r="D51" s="300">
        <f>+VLOOKUP(B51,[8]Pasivo!$B$2:$E$38,3,0)</f>
        <v>14934780</v>
      </c>
      <c r="E51" s="300">
        <f>+VLOOKUP(B51,[8]Pasivo!$B$2:$E$38,4,0)</f>
        <v>15996205</v>
      </c>
      <c r="F51" s="101"/>
      <c r="G51" s="295">
        <f t="shared" si="10"/>
        <v>-1061425</v>
      </c>
      <c r="H51" s="317">
        <f t="shared" si="1"/>
        <v>-6.6354801029369151E-2</v>
      </c>
    </row>
    <row r="52" spans="1:8" s="102" customFormat="1" ht="18" customHeight="1">
      <c r="B52" s="64" t="s">
        <v>364</v>
      </c>
      <c r="C52" s="61">
        <f>+VLOOKUP(B52,[8]Pasivo!$B$2:$E$38,2,0)</f>
        <v>19</v>
      </c>
      <c r="D52" s="300">
        <f>+VLOOKUP(B52,[8]Pasivo!$B$2:$E$38,3,0)</f>
        <v>22322555</v>
      </c>
      <c r="E52" s="300">
        <f>+VLOOKUP(B52,[8]Pasivo!$B$2:$E$38,4,0)</f>
        <v>22128779</v>
      </c>
      <c r="F52" s="101"/>
      <c r="G52" s="295">
        <f t="shared" si="10"/>
        <v>193776</v>
      </c>
      <c r="H52" s="317">
        <f t="shared" si="1"/>
        <v>8.7567416168781841E-3</v>
      </c>
    </row>
    <row r="53" spans="1:8" s="102" customFormat="1" ht="18" customHeight="1" thickBot="1">
      <c r="B53" s="64" t="s">
        <v>373</v>
      </c>
      <c r="C53" s="61">
        <f>+VLOOKUP(B53,[8]Pasivo!$B$2:$E$38,2,0)</f>
        <v>20</v>
      </c>
      <c r="D53" s="300">
        <f>+VLOOKUP(B53,[8]Pasivo!$B$2:$E$38,3,0)</f>
        <v>7454645</v>
      </c>
      <c r="E53" s="300">
        <f>+VLOOKUP(B53,[8]Pasivo!$B$2:$E$38,4,0)</f>
        <v>8041634</v>
      </c>
      <c r="F53" s="101"/>
      <c r="G53" s="295">
        <f t="shared" si="10"/>
        <v>-586989</v>
      </c>
      <c r="H53" s="317">
        <f t="shared" si="1"/>
        <v>-7.2993747290662575E-2</v>
      </c>
    </row>
    <row r="54" spans="1:8" s="102" customFormat="1" ht="21" customHeight="1" thickBot="1">
      <c r="B54" s="70" t="s">
        <v>249</v>
      </c>
      <c r="C54" s="75"/>
      <c r="D54" s="302">
        <f>SUM(D46:D53)</f>
        <v>1175540305</v>
      </c>
      <c r="E54" s="303">
        <f>SUM(E46:E53)</f>
        <v>1274661314</v>
      </c>
      <c r="F54" s="101"/>
      <c r="G54" s="318">
        <f t="shared" si="10"/>
        <v>-99121009</v>
      </c>
      <c r="H54" s="319">
        <f t="shared" si="1"/>
        <v>-7.7762624401731859E-2</v>
      </c>
    </row>
    <row r="55" spans="1:8" s="102" customFormat="1" ht="4.5" customHeight="1" thickBot="1">
      <c r="B55" s="64"/>
      <c r="C55" s="65"/>
      <c r="D55" s="300"/>
      <c r="E55" s="301"/>
      <c r="F55" s="101"/>
      <c r="G55" s="295"/>
      <c r="H55" s="317"/>
    </row>
    <row r="56" spans="1:8" s="102" customFormat="1" ht="21" customHeight="1" thickBot="1">
      <c r="B56" s="76" t="s">
        <v>127</v>
      </c>
      <c r="C56" s="75"/>
      <c r="D56" s="302">
        <f>+D54+D44</f>
        <v>1537208431</v>
      </c>
      <c r="E56" s="303">
        <f>+E54+E44</f>
        <v>1540458461</v>
      </c>
      <c r="F56" s="101"/>
      <c r="G56" s="318">
        <f>ROUND(+(D56-E56),0)</f>
        <v>-3250030</v>
      </c>
      <c r="H56" s="319">
        <f t="shared" ref="H56:H67" si="15">IFERROR(G56/E56,100)</f>
        <v>-2.1097810049939413E-3</v>
      </c>
    </row>
    <row r="57" spans="1:8" s="102" customFormat="1" ht="21" customHeight="1">
      <c r="B57" s="60" t="s">
        <v>250</v>
      </c>
      <c r="C57" s="77"/>
      <c r="D57" s="310"/>
      <c r="E57" s="311"/>
      <c r="F57" s="101"/>
      <c r="G57" s="295"/>
      <c r="H57" s="317"/>
    </row>
    <row r="58" spans="1:8" s="102" customFormat="1" ht="18" customHeight="1">
      <c r="B58" s="64" t="s">
        <v>128</v>
      </c>
      <c r="C58" s="61">
        <f>+VLOOKUP(B58,[8]Pasivo!$B$2:$E$38,2,0)</f>
        <v>21</v>
      </c>
      <c r="D58" s="300">
        <f>+VLOOKUP(B58,[8]Pasivo!$B$2:$E$38,3,0)</f>
        <v>155567354</v>
      </c>
      <c r="E58" s="63">
        <f>+VLOOKUP(B58,[8]Pasivo!$B$2:$E$38,4,0)</f>
        <v>155567354</v>
      </c>
      <c r="F58" s="101"/>
      <c r="G58" s="295">
        <f t="shared" ref="G58:G65" si="16">ROUND(+(D58-E58),0)</f>
        <v>0</v>
      </c>
      <c r="H58" s="317">
        <f t="shared" si="15"/>
        <v>0</v>
      </c>
    </row>
    <row r="59" spans="1:8" s="102" customFormat="1" ht="18" customHeight="1">
      <c r="B59" s="64" t="s">
        <v>365</v>
      </c>
      <c r="C59" s="61">
        <f>+VLOOKUP(B59,[8]Pasivo!$B$2:$E$38,2,0)</f>
        <v>21</v>
      </c>
      <c r="D59" s="300">
        <f>+VLOOKUP(B59,[8]Pasivo!$B$2:$E$38,3,0)</f>
        <v>411044222</v>
      </c>
      <c r="E59" s="63">
        <f>+VLOOKUP(B59,[8]Pasivo!$B$2:$E$38,4,0)</f>
        <v>368056492</v>
      </c>
      <c r="F59" s="101"/>
      <c r="G59" s="295">
        <f t="shared" si="16"/>
        <v>42987730</v>
      </c>
      <c r="H59" s="317">
        <f t="shared" si="15"/>
        <v>0.11679655415506161</v>
      </c>
    </row>
    <row r="60" spans="1:8" s="102" customFormat="1" ht="18" customHeight="1">
      <c r="B60" s="78" t="s">
        <v>366</v>
      </c>
      <c r="C60" s="61">
        <f>+VLOOKUP(B60,[8]Pasivo!$B$2:$E$38,2,0)</f>
        <v>21</v>
      </c>
      <c r="D60" s="300">
        <f>+VLOOKUP(B60,[8]Pasivo!$B$2:$E$38,3,0)</f>
        <v>164064038</v>
      </c>
      <c r="E60" s="63">
        <f>+VLOOKUP(B60,[8]Pasivo!$B$2:$E$38,4,0)</f>
        <v>164064038</v>
      </c>
      <c r="F60" s="101"/>
      <c r="G60" s="295">
        <f t="shared" si="16"/>
        <v>0</v>
      </c>
      <c r="H60" s="317">
        <f t="shared" si="15"/>
        <v>0</v>
      </c>
    </row>
    <row r="61" spans="1:8" s="101" customFormat="1" ht="18" customHeight="1">
      <c r="A61" s="102"/>
      <c r="B61" s="64" t="s">
        <v>129</v>
      </c>
      <c r="C61" s="61">
        <f>+VLOOKUP(B61,[8]Pasivo!$B$2:$E$38,2,0)</f>
        <v>21</v>
      </c>
      <c r="D61" s="300">
        <f>+VLOOKUP(B61,[8]Pasivo!$B$2:$E$38,3,0)</f>
        <v>-5965550</v>
      </c>
      <c r="E61" s="63">
        <f>+VLOOKUP(B61,[8]Pasivo!$B$2:$E$38,4,0)</f>
        <v>-5965550</v>
      </c>
      <c r="G61" s="295">
        <f t="shared" si="16"/>
        <v>0</v>
      </c>
      <c r="H61" s="317">
        <f t="shared" si="15"/>
        <v>0</v>
      </c>
    </row>
    <row r="62" spans="1:8" s="101" customFormat="1" ht="18" customHeight="1" thickBot="1">
      <c r="A62" s="102"/>
      <c r="B62" s="64" t="s">
        <v>320</v>
      </c>
      <c r="C62" s="61">
        <f>+VLOOKUP(B62,[8]Pasivo!$B$2:$E$38,2,0)</f>
        <v>21</v>
      </c>
      <c r="D62" s="300">
        <f>+VLOOKUP(B62,[8]Pasivo!$B$2:$E$38,3,0)</f>
        <v>161397766</v>
      </c>
      <c r="E62" s="63">
        <f>+VLOOKUP(B62,[8]Pasivo!$B$2:$E$38,4,0)</f>
        <v>157139192</v>
      </c>
      <c r="G62" s="295"/>
      <c r="H62" s="317"/>
    </row>
    <row r="63" spans="1:8" s="101" customFormat="1" ht="21.75" customHeight="1" thickBot="1">
      <c r="A63" s="102"/>
      <c r="B63" s="79" t="s">
        <v>94</v>
      </c>
      <c r="C63" s="61">
        <f>+VLOOKUP(B63,[8]Pasivo!$B$2:$E$38,2,0)</f>
        <v>0</v>
      </c>
      <c r="D63" s="306">
        <f>SUM(D58:D62)</f>
        <v>886107830</v>
      </c>
      <c r="E63" s="307">
        <f>SUM(E58:E62)</f>
        <v>838861526</v>
      </c>
      <c r="G63" s="318">
        <f t="shared" si="16"/>
        <v>47246304</v>
      </c>
      <c r="H63" s="319">
        <f t="shared" si="15"/>
        <v>5.632193459305225E-2</v>
      </c>
    </row>
    <row r="64" spans="1:8" s="101" customFormat="1" ht="21.75" customHeight="1" thickBot="1">
      <c r="A64" s="102"/>
      <c r="B64" s="80" t="s">
        <v>95</v>
      </c>
      <c r="C64" s="61">
        <f>+VLOOKUP(B64,[8]Pasivo!$B$2:$E$38,2,0)</f>
        <v>22</v>
      </c>
      <c r="D64" s="300">
        <f>+VLOOKUP(B64,[8]Pasivo!$B$2:$E$38,3,0)</f>
        <v>31468</v>
      </c>
      <c r="E64" s="63">
        <f>+VLOOKUP(B64,[8]Pasivo!$B$2:$E$38,4,0)</f>
        <v>29573</v>
      </c>
      <c r="G64" s="295">
        <f t="shared" si="16"/>
        <v>1895</v>
      </c>
      <c r="H64" s="317">
        <f t="shared" si="15"/>
        <v>6.4078720454468607E-2</v>
      </c>
    </row>
    <row r="65" spans="1:8" s="101" customFormat="1" ht="18" customHeight="1" thickBot="1">
      <c r="A65" s="102"/>
      <c r="B65" s="70" t="s">
        <v>251</v>
      </c>
      <c r="C65" s="81"/>
      <c r="D65" s="302">
        <f>+D63+D64</f>
        <v>886139298</v>
      </c>
      <c r="E65" s="303">
        <f>+E63+E64</f>
        <v>838891099</v>
      </c>
      <c r="G65" s="318">
        <f t="shared" si="16"/>
        <v>47248199</v>
      </c>
      <c r="H65" s="319">
        <f t="shared" si="15"/>
        <v>5.6322208039067533E-2</v>
      </c>
    </row>
    <row r="66" spans="1:8" s="102" customFormat="1" ht="11.25" customHeight="1" thickBot="1">
      <c r="B66" s="64"/>
      <c r="C66" s="65"/>
      <c r="D66" s="300"/>
      <c r="E66" s="301"/>
      <c r="F66" s="101"/>
      <c r="G66" s="295"/>
      <c r="H66" s="317"/>
    </row>
    <row r="67" spans="1:8" s="101" customFormat="1" ht="20.25" customHeight="1" thickBot="1">
      <c r="A67" s="102"/>
      <c r="B67" s="82" t="s">
        <v>252</v>
      </c>
      <c r="C67" s="83"/>
      <c r="D67" s="308">
        <f>+D65+D56</f>
        <v>2423347729</v>
      </c>
      <c r="E67" s="309">
        <f>+E65+E56</f>
        <v>2379349560</v>
      </c>
      <c r="G67" s="318">
        <f>ROUND(+(D67-E67),0)</f>
        <v>43998169</v>
      </c>
      <c r="H67" s="319">
        <f t="shared" si="15"/>
        <v>1.8491679297429505E-2</v>
      </c>
    </row>
    <row r="69" spans="1:8" ht="15" customHeight="1">
      <c r="B69" s="372" t="s">
        <v>288</v>
      </c>
      <c r="C69" s="372"/>
      <c r="D69" s="373">
        <f>+D67-D28</f>
        <v>0</v>
      </c>
      <c r="E69" s="373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tabColor rgb="FF92D050"/>
    <pageSetUpPr fitToPage="1"/>
  </sheetPr>
  <dimension ref="A1:K31"/>
  <sheetViews>
    <sheetView showGridLines="0" zoomScale="90" zoomScaleNormal="90" workbookViewId="0">
      <selection activeCell="D15" sqref="D15:D16"/>
    </sheetView>
  </sheetViews>
  <sheetFormatPr baseColWidth="10" defaultColWidth="11.44140625" defaultRowHeight="13.8"/>
  <cols>
    <col min="1" max="1" width="7.5546875" style="110" customWidth="1"/>
    <col min="2" max="2" width="50.44140625" style="110" customWidth="1"/>
    <col min="3" max="3" width="7.6640625" style="110" customWidth="1"/>
    <col min="4" max="4" width="12.44140625" style="110" bestFit="1" customWidth="1"/>
    <col min="5" max="5" width="13.88671875" style="110" customWidth="1"/>
    <col min="6" max="6" width="5" style="110" customWidth="1"/>
    <col min="7" max="7" width="11.44140625" style="312"/>
    <col min="8" max="9" width="12.6640625" style="313" customWidth="1"/>
    <col min="10" max="10" width="0" style="312" hidden="1" customWidth="1"/>
    <col min="11" max="11" width="12.6640625" style="313" hidden="1" customWidth="1"/>
    <col min="12" max="16384" width="11.44140625" style="110"/>
  </cols>
  <sheetData>
    <row r="1" spans="1:11">
      <c r="C1" s="126"/>
    </row>
    <row r="2" spans="1:11" ht="14.4" thickBot="1">
      <c r="C2" s="126"/>
      <c r="G2" s="474" t="s">
        <v>239</v>
      </c>
      <c r="H2" s="474"/>
      <c r="I2" s="356"/>
      <c r="J2" s="474" t="s">
        <v>240</v>
      </c>
      <c r="K2" s="474"/>
    </row>
    <row r="3" spans="1:11" s="102" customFormat="1">
      <c r="A3" s="127"/>
      <c r="B3" s="470" t="s">
        <v>284</v>
      </c>
      <c r="C3" s="466" t="s">
        <v>106</v>
      </c>
      <c r="D3" s="398">
        <v>45291</v>
      </c>
      <c r="E3" s="398">
        <v>44926</v>
      </c>
      <c r="G3" s="472" t="s">
        <v>238</v>
      </c>
      <c r="H3" s="473"/>
      <c r="I3" s="357"/>
      <c r="J3" s="472" t="s">
        <v>238</v>
      </c>
      <c r="K3" s="473"/>
    </row>
    <row r="4" spans="1:11" s="102" customFormat="1" ht="16.5" customHeight="1">
      <c r="B4" s="471"/>
      <c r="C4" s="467"/>
      <c r="D4" s="58" t="s">
        <v>8</v>
      </c>
      <c r="E4" s="58" t="s">
        <v>8</v>
      </c>
      <c r="G4" s="315" t="s">
        <v>8</v>
      </c>
      <c r="H4" s="316" t="s">
        <v>70</v>
      </c>
      <c r="I4" s="358"/>
      <c r="J4" s="315" t="s">
        <v>8</v>
      </c>
      <c r="K4" s="316"/>
    </row>
    <row r="5" spans="1:11" s="102" customFormat="1" ht="21" customHeight="1">
      <c r="B5" s="84" t="s">
        <v>285</v>
      </c>
      <c r="C5" s="65">
        <f>+VLOOKUP(B5,[8]Resultado!$B$4:$E$29,2,0)</f>
        <v>25</v>
      </c>
      <c r="D5" s="62">
        <f>+VLOOKUP(B5,[8]Resultado!$B$4:$E$29,3,0)</f>
        <v>640855854</v>
      </c>
      <c r="E5" s="62">
        <f>+VLOOKUP(B5,[8]Resultado!$B$4:$E$29,4,0)</f>
        <v>580468054</v>
      </c>
      <c r="F5" s="101"/>
      <c r="G5" s="295">
        <f t="shared" ref="G5:G11" si="0">+ROUND((D5-E5),0)</f>
        <v>60387800</v>
      </c>
      <c r="H5" s="320">
        <f t="shared" ref="H5:H11" si="1">IFERROR(G5/E5,1)</f>
        <v>0.10403294304289139</v>
      </c>
      <c r="I5" s="359"/>
      <c r="J5" s="295" t="e">
        <f>+ROUND((#REF!-#REF!),0)</f>
        <v>#REF!</v>
      </c>
      <c r="K5" s="320">
        <f>IFERROR(J5/#REF!,1)</f>
        <v>1</v>
      </c>
    </row>
    <row r="6" spans="1:11" s="102" customFormat="1" ht="21" customHeight="1">
      <c r="B6" s="84" t="s">
        <v>100</v>
      </c>
      <c r="C6" s="65"/>
      <c r="D6" s="62">
        <f>+VLOOKUP(B6,[8]Resultado!$B$4:$E$29,3,0)</f>
        <v>-85361668</v>
      </c>
      <c r="E6" s="62">
        <f>+VLOOKUP(B6,[8]Resultado!$B$4:$E$29,4,0)</f>
        <v>-79574233</v>
      </c>
      <c r="F6" s="101"/>
      <c r="G6" s="295">
        <f t="shared" si="0"/>
        <v>-5787435</v>
      </c>
      <c r="H6" s="320">
        <f t="shared" si="1"/>
        <v>7.273001299302502E-2</v>
      </c>
      <c r="I6" s="359"/>
      <c r="J6" s="295" t="e">
        <f>+ROUND((#REF!-#REF!),0)</f>
        <v>#REF!</v>
      </c>
      <c r="K6" s="320">
        <f>IFERROR(J6/#REF!,1)</f>
        <v>1</v>
      </c>
    </row>
    <row r="7" spans="1:11" s="102" customFormat="1" ht="21" customHeight="1">
      <c r="B7" s="84" t="s">
        <v>91</v>
      </c>
      <c r="C7" s="65">
        <f>+VLOOKUP(B7,[8]Resultado!$B$4:$E$29,2,0)</f>
        <v>19</v>
      </c>
      <c r="D7" s="62">
        <f>+VLOOKUP(B7,[8]Resultado!$B$4:$E$29,3,0)</f>
        <v>-76458923</v>
      </c>
      <c r="E7" s="62">
        <f>+VLOOKUP(B7,[8]Resultado!$B$4:$E$29,4,0)</f>
        <v>-66369413</v>
      </c>
      <c r="F7" s="101"/>
      <c r="G7" s="295">
        <f t="shared" si="0"/>
        <v>-10089510</v>
      </c>
      <c r="H7" s="320">
        <f t="shared" si="1"/>
        <v>0.15202047967487675</v>
      </c>
      <c r="I7" s="359"/>
      <c r="J7" s="295" t="e">
        <f>+ROUND((#REF!-#REF!),0)</f>
        <v>#REF!</v>
      </c>
      <c r="K7" s="320">
        <f>IFERROR(J7/#REF!,1)</f>
        <v>1</v>
      </c>
    </row>
    <row r="8" spans="1:11" s="102" customFormat="1" ht="21" customHeight="1">
      <c r="B8" s="84" t="s">
        <v>351</v>
      </c>
      <c r="C8" s="65" t="str">
        <f>+VLOOKUP(B8,[8]Resultado!$B$4:$E$29,2,0)</f>
        <v>11-13-14</v>
      </c>
      <c r="D8" s="62">
        <f>+VLOOKUP(B8,[8]Resultado!$B$4:$E$29,3,0)</f>
        <v>-77689350</v>
      </c>
      <c r="E8" s="62">
        <f>+VLOOKUP(B8,[8]Resultado!$B$4:$E$29,4,0)</f>
        <v>-74811690</v>
      </c>
      <c r="F8" s="101"/>
      <c r="G8" s="295">
        <f t="shared" si="0"/>
        <v>-2877660</v>
      </c>
      <c r="H8" s="320">
        <f t="shared" si="1"/>
        <v>3.8465378873275016E-2</v>
      </c>
      <c r="I8" s="359"/>
      <c r="J8" s="295" t="e">
        <f>+ROUND((#REF!-#REF!),0)</f>
        <v>#REF!</v>
      </c>
      <c r="K8" s="320">
        <f>IFERROR(J8/#REF!,1)</f>
        <v>1</v>
      </c>
    </row>
    <row r="9" spans="1:11" s="102" customFormat="1" ht="21" customHeight="1">
      <c r="B9" s="86" t="s">
        <v>352</v>
      </c>
      <c r="C9" s="85"/>
      <c r="D9" s="62">
        <f>+VLOOKUP(B9,[8]Resultado!$B$4:$E$29,3,0)</f>
        <v>-12316346</v>
      </c>
      <c r="E9" s="62">
        <f>+VLOOKUP(B9,[8]Resultado!$B$4:$E$29,4,0)</f>
        <v>-13830357</v>
      </c>
      <c r="F9" s="101"/>
      <c r="G9" s="295">
        <f t="shared" si="0"/>
        <v>1514011</v>
      </c>
      <c r="H9" s="320">
        <f t="shared" si="1"/>
        <v>-0.10947013153745778</v>
      </c>
      <c r="I9" s="359"/>
      <c r="J9" s="295" t="e">
        <f>+ROUND((#REF!-#REF!),0)</f>
        <v>#REF!</v>
      </c>
      <c r="K9" s="320">
        <f>IFERROR(J9/#REF!,1)</f>
        <v>1</v>
      </c>
    </row>
    <row r="10" spans="1:11" s="102" customFormat="1" ht="21" customHeight="1">
      <c r="B10" s="84" t="s">
        <v>93</v>
      </c>
      <c r="C10" s="65">
        <f>+VLOOKUP(B10,[8]Resultado!$B$4:$E$29,2,0)</f>
        <v>26</v>
      </c>
      <c r="D10" s="62">
        <f>+VLOOKUP(B10,[8]Resultado!$B$4:$E$29,3,0)</f>
        <v>-148430974</v>
      </c>
      <c r="E10" s="62">
        <f>+VLOOKUP(B10,[8]Resultado!$B$4:$E$29,4,0)</f>
        <v>-124929936</v>
      </c>
      <c r="F10" s="101"/>
      <c r="G10" s="295">
        <f t="shared" si="0"/>
        <v>-23501038</v>
      </c>
      <c r="H10" s="320">
        <f t="shared" si="1"/>
        <v>0.18811374401088302</v>
      </c>
      <c r="I10" s="359"/>
      <c r="J10" s="295" t="e">
        <f>+ROUND((#REF!-#REF!),0)</f>
        <v>#REF!</v>
      </c>
      <c r="K10" s="320">
        <f>IFERROR(J10/#REF!,1)</f>
        <v>1</v>
      </c>
    </row>
    <row r="11" spans="1:11" s="102" customFormat="1" ht="21" customHeight="1">
      <c r="B11" s="84" t="s">
        <v>277</v>
      </c>
      <c r="C11" s="65">
        <f>+VLOOKUP(B11,[8]Resultado!$B$4:$E$29,2,0)</f>
        <v>27</v>
      </c>
      <c r="D11" s="62">
        <f>+VLOOKUP(B11,[8]Resultado!$B$4:$E$29,3,0)</f>
        <v>3336545</v>
      </c>
      <c r="E11" s="62">
        <f>+VLOOKUP(B11,[8]Resultado!$B$4:$E$29,4,0)</f>
        <v>-1521833</v>
      </c>
      <c r="F11" s="101"/>
      <c r="G11" s="295">
        <f t="shared" si="0"/>
        <v>4858378</v>
      </c>
      <c r="H11" s="320">
        <f t="shared" si="1"/>
        <v>-3.1924514713506671</v>
      </c>
      <c r="I11" s="359"/>
      <c r="J11" s="295" t="e">
        <f>+ROUND((#REF!-#REF!),0)</f>
        <v>#REF!</v>
      </c>
      <c r="K11" s="320">
        <f>IFERROR(J11/#REF!,1)</f>
        <v>1</v>
      </c>
    </row>
    <row r="12" spans="1:11" s="102" customFormat="1" ht="21" customHeight="1">
      <c r="B12" s="331" t="s">
        <v>296</v>
      </c>
      <c r="C12" s="332"/>
      <c r="D12" s="332">
        <f>+SUM(D5:D11)</f>
        <v>243935138</v>
      </c>
      <c r="E12" s="332">
        <f t="shared" ref="E12" si="2">+SUM(E5:E11)</f>
        <v>219430592</v>
      </c>
      <c r="F12" s="101"/>
      <c r="G12" s="295"/>
      <c r="H12" s="320"/>
      <c r="I12" s="359"/>
      <c r="J12" s="295"/>
      <c r="K12" s="320"/>
    </row>
    <row r="13" spans="1:11" s="102" customFormat="1" ht="21" customHeight="1">
      <c r="B13" s="84" t="s">
        <v>97</v>
      </c>
      <c r="C13" s="65">
        <f>+VLOOKUP(B13,[8]Resultado!$B$4:$E$29,2,0)</f>
        <v>27</v>
      </c>
      <c r="D13" s="62">
        <f>+VLOOKUP(B13,[8]Resultado!$B$4:$E$29,3,0)</f>
        <v>15927907</v>
      </c>
      <c r="E13" s="62">
        <f>+VLOOKUP(B13,[8]Resultado!$B$4:$E$29,4,0)</f>
        <v>15978770</v>
      </c>
      <c r="F13" s="101"/>
      <c r="G13" s="295">
        <f>+ROUND((D13-E13),0)</f>
        <v>-50863</v>
      </c>
      <c r="H13" s="320">
        <f>IFERROR(G13/E13,1)</f>
        <v>-3.1831611569601414E-3</v>
      </c>
      <c r="I13" s="359"/>
      <c r="J13" s="295" t="e">
        <f>+ROUND((#REF!-#REF!),0)</f>
        <v>#REF!</v>
      </c>
      <c r="K13" s="320">
        <f>IFERROR(J13/#REF!,1)</f>
        <v>1</v>
      </c>
    </row>
    <row r="14" spans="1:11" s="102" customFormat="1" ht="21" customHeight="1">
      <c r="B14" s="84" t="s">
        <v>353</v>
      </c>
      <c r="C14" s="65">
        <f>+VLOOKUP(B14,[8]Resultado!$B$4:$E$29,2,0)</f>
        <v>27</v>
      </c>
      <c r="D14" s="62">
        <f>+VLOOKUP(B14,[8]Resultado!$B$4:$E$29,3,0)</f>
        <v>-48849432</v>
      </c>
      <c r="E14" s="62">
        <f>+VLOOKUP(B14,[8]Resultado!$B$4:$E$29,4,0)</f>
        <v>-36630374</v>
      </c>
      <c r="F14" s="101"/>
      <c r="G14" s="295">
        <f>+ROUND((D14-E14),0)</f>
        <v>-12219058</v>
      </c>
      <c r="H14" s="320">
        <f>IFERROR(G14/E14,1)</f>
        <v>0.33357721108717042</v>
      </c>
      <c r="I14" s="359"/>
      <c r="J14" s="295" t="e">
        <f>+ROUND((#REF!-#REF!),0)</f>
        <v>#REF!</v>
      </c>
      <c r="K14" s="320">
        <f>IFERROR(J14/#REF!,1)</f>
        <v>1</v>
      </c>
    </row>
    <row r="15" spans="1:11" s="102" customFormat="1" ht="21" customHeight="1">
      <c r="B15" s="84" t="s">
        <v>297</v>
      </c>
      <c r="C15" s="65">
        <f>+VLOOKUP(B15,[8]Resultado!$B$4:$E$29,2,0)</f>
        <v>28</v>
      </c>
      <c r="D15" s="479">
        <v>2645936</v>
      </c>
      <c r="E15" s="62">
        <f>+VLOOKUP(B15,[8]Resultado!$B$4:$E$29,4,0)</f>
        <v>-854215</v>
      </c>
      <c r="F15" s="101"/>
      <c r="G15" s="295">
        <f>+ROUND((D15-E15),0)</f>
        <v>3500151</v>
      </c>
      <c r="H15" s="320">
        <f>IFERROR(G15/E15,1)</f>
        <v>-4.0975058972272791</v>
      </c>
      <c r="I15" s="359"/>
      <c r="J15" s="295" t="e">
        <f>+ROUND((#REF!-#REF!),0)</f>
        <v>#REF!</v>
      </c>
      <c r="K15" s="320">
        <f>IFERROR(J15/#REF!,1)</f>
        <v>1</v>
      </c>
    </row>
    <row r="16" spans="1:11" s="102" customFormat="1" ht="21" customHeight="1">
      <c r="B16" s="84" t="s">
        <v>354</v>
      </c>
      <c r="C16" s="65">
        <f>+VLOOKUP(B16,[8]Resultado!$B$4:$E$29,2,0)</f>
        <v>29</v>
      </c>
      <c r="D16" s="479">
        <v>-46357996</v>
      </c>
      <c r="E16" s="62">
        <f>+VLOOKUP(B16,[8]Resultado!$B$4:$E$29,4,0)</f>
        <v>-115252282</v>
      </c>
      <c r="F16" s="101"/>
      <c r="G16" s="295">
        <f>+ROUND((D16-E16),0)</f>
        <v>68894286</v>
      </c>
      <c r="H16" s="320">
        <f>IFERROR(G16/E16,1)</f>
        <v>-0.59776938733412677</v>
      </c>
      <c r="I16" s="359"/>
      <c r="J16" s="295" t="e">
        <f>+ROUND((#REF!-#REF!),0)</f>
        <v>#REF!</v>
      </c>
      <c r="K16" s="320">
        <f>IFERROR(J16/#REF!,1)</f>
        <v>1</v>
      </c>
    </row>
    <row r="17" spans="2:11" s="102" customFormat="1" ht="21" customHeight="1" thickBot="1">
      <c r="B17" s="84" t="s">
        <v>308</v>
      </c>
      <c r="C17" s="65"/>
      <c r="D17" s="62"/>
      <c r="E17" s="62"/>
      <c r="F17" s="101"/>
      <c r="G17" s="295"/>
      <c r="H17" s="320"/>
      <c r="I17" s="359"/>
      <c r="J17" s="295"/>
      <c r="K17" s="320"/>
    </row>
    <row r="18" spans="2:11" s="102" customFormat="1" ht="21" customHeight="1" thickBot="1">
      <c r="B18" s="88" t="s">
        <v>253</v>
      </c>
      <c r="C18" s="89"/>
      <c r="D18" s="90">
        <f>SUM(D12:D16)</f>
        <v>167301553</v>
      </c>
      <c r="E18" s="90">
        <f>SUM(E12:E16)</f>
        <v>82672491</v>
      </c>
      <c r="F18" s="101"/>
      <c r="G18" s="318">
        <f>+ROUND((D18-E18),0)</f>
        <v>84629062</v>
      </c>
      <c r="H18" s="323">
        <f>IFERROR(G18/E18,1)</f>
        <v>1.0236665301399954</v>
      </c>
      <c r="I18" s="360"/>
      <c r="J18" s="318" t="e">
        <f>+ROUND((#REF!-#REF!),0)</f>
        <v>#REF!</v>
      </c>
      <c r="K18" s="323">
        <f>IFERROR(J18/#REF!,1)</f>
        <v>1</v>
      </c>
    </row>
    <row r="19" spans="2:11" s="102" customFormat="1" ht="21" customHeight="1" thickBot="1">
      <c r="B19" s="84" t="s">
        <v>355</v>
      </c>
      <c r="C19" s="65">
        <f>+VLOOKUP(B19,[8]Resultado!$B$4:$E$29,2,0)</f>
        <v>15</v>
      </c>
      <c r="D19" s="62">
        <f>+VLOOKUP(B19,[8]Resultado!$B$4:$E$29,3,0)</f>
        <v>-33909237</v>
      </c>
      <c r="E19" s="62">
        <f>+VLOOKUP(B19,[8]Resultado!$B$4:$E$29,4,0)</f>
        <v>2578383</v>
      </c>
      <c r="F19" s="101"/>
      <c r="G19" s="295">
        <f>+ROUND((D19-E19),0)</f>
        <v>-36487620</v>
      </c>
      <c r="H19" s="320">
        <f>IFERROR(G19/E19,1)</f>
        <v>-14.151357653226848</v>
      </c>
      <c r="I19" s="359"/>
      <c r="J19" s="295" t="e">
        <f>+ROUND((#REF!-#REF!),0)</f>
        <v>#REF!</v>
      </c>
      <c r="K19" s="320">
        <f>IFERROR(J19/#REF!,1)</f>
        <v>1</v>
      </c>
    </row>
    <row r="20" spans="2:11" s="102" customFormat="1" ht="21" customHeight="1" thickBot="1">
      <c r="B20" s="88" t="s">
        <v>254</v>
      </c>
      <c r="C20" s="91"/>
      <c r="D20" s="90">
        <f>+D18+D19</f>
        <v>133392316</v>
      </c>
      <c r="E20" s="90">
        <f>+E18+E19</f>
        <v>85250874</v>
      </c>
      <c r="F20" s="101"/>
      <c r="G20" s="318">
        <f>+ROUND((D20-E20),0)</f>
        <v>48141442</v>
      </c>
      <c r="H20" s="323">
        <f>IFERROR(G20/E20,1)</f>
        <v>0.56470320761755477</v>
      </c>
      <c r="I20" s="360"/>
      <c r="J20" s="318" t="e">
        <f>+ROUND((#REF!-#REF!),0)</f>
        <v>#REF!</v>
      </c>
      <c r="K20" s="323">
        <f>IFERROR(J20/#REF!,1)</f>
        <v>1</v>
      </c>
    </row>
    <row r="21" spans="2:11" s="102" customFormat="1" ht="23.25" customHeight="1">
      <c r="B21" s="86" t="s">
        <v>309</v>
      </c>
      <c r="C21" s="92"/>
      <c r="D21" s="62">
        <f>+VLOOKUP(B21,[8]Resultado!$B$4:$E$29,3,0)</f>
        <v>0</v>
      </c>
      <c r="E21" s="62">
        <f>+VLOOKUP(B21,[8]Resultado!$B$4:$E$29,4,0)</f>
        <v>0</v>
      </c>
      <c r="F21" s="101"/>
      <c r="G21" s="295">
        <f>+ROUND((D21-E21),0)</f>
        <v>0</v>
      </c>
      <c r="H21" s="320">
        <f>IFERROR(G21/E21,1)</f>
        <v>1</v>
      </c>
      <c r="I21" s="359"/>
      <c r="J21" s="295" t="e">
        <f>+ROUND((#REF!-#REF!),0)</f>
        <v>#REF!</v>
      </c>
      <c r="K21" s="320">
        <f>IFERROR(J21/#REF!,1)</f>
        <v>1</v>
      </c>
    </row>
    <row r="22" spans="2:11" s="102" customFormat="1" ht="23.25" customHeight="1" thickBot="1">
      <c r="B22" s="86"/>
      <c r="C22" s="92"/>
      <c r="D22" s="62"/>
      <c r="E22" s="62"/>
      <c r="F22" s="101"/>
      <c r="G22" s="295"/>
      <c r="H22" s="320"/>
      <c r="I22" s="359"/>
      <c r="J22" s="295"/>
      <c r="K22" s="320"/>
    </row>
    <row r="23" spans="2:11" s="102" customFormat="1" ht="21" customHeight="1" thickBot="1">
      <c r="B23" s="88" t="s">
        <v>130</v>
      </c>
      <c r="C23" s="91"/>
      <c r="D23" s="90">
        <f>+D20+D21</f>
        <v>133392316</v>
      </c>
      <c r="E23" s="90">
        <f t="shared" ref="E23" si="3">+E20+E21</f>
        <v>85250874</v>
      </c>
      <c r="F23" s="101"/>
      <c r="G23" s="318">
        <f>+ROUND((D23-E23),0)</f>
        <v>48141442</v>
      </c>
      <c r="H23" s="323">
        <f>IFERROR(G23/E23,1)</f>
        <v>0.56470320761755477</v>
      </c>
      <c r="I23" s="360"/>
      <c r="J23" s="318" t="e">
        <f>+ROUND((#REF!-#REF!),0)</f>
        <v>#REF!</v>
      </c>
      <c r="K23" s="323">
        <f>IFERROR(J23/#REF!,1)</f>
        <v>1</v>
      </c>
    </row>
    <row r="24" spans="2:11" s="102" customFormat="1" ht="21" customHeight="1" thickBot="1">
      <c r="B24" s="93" t="s">
        <v>255</v>
      </c>
      <c r="C24" s="94" t="s">
        <v>4</v>
      </c>
      <c r="D24" s="95"/>
      <c r="E24" s="87"/>
      <c r="F24" s="101"/>
      <c r="G24" s="295"/>
      <c r="H24" s="320"/>
      <c r="I24" s="359"/>
      <c r="J24" s="295"/>
      <c r="K24" s="320"/>
    </row>
    <row r="25" spans="2:11" s="102" customFormat="1" ht="21" customHeight="1" thickBot="1">
      <c r="B25" s="96" t="s">
        <v>103</v>
      </c>
      <c r="C25" s="91"/>
      <c r="D25" s="97">
        <f>+D23-D26</f>
        <v>133390421</v>
      </c>
      <c r="E25" s="97">
        <f>+E23-E26</f>
        <v>85248734</v>
      </c>
      <c r="F25" s="101"/>
      <c r="G25" s="318">
        <f>+ROUND((D25-E25),0)</f>
        <v>48141687</v>
      </c>
      <c r="H25" s="323">
        <f>IFERROR(G25/E25,1)</f>
        <v>0.56472025731197373</v>
      </c>
      <c r="I25" s="360"/>
      <c r="J25" s="318" t="e">
        <f>+ROUND((#REF!-#REF!),0)</f>
        <v>#REF!</v>
      </c>
      <c r="K25" s="323">
        <f>IFERROR(J25/#REF!,1)</f>
        <v>1</v>
      </c>
    </row>
    <row r="26" spans="2:11" s="102" customFormat="1" ht="21" customHeight="1" thickBot="1">
      <c r="B26" s="86" t="s">
        <v>356</v>
      </c>
      <c r="C26" s="65">
        <f>+VLOOKUP(B26,[8]Resultado!$B$4:$E$29,2,0)</f>
        <v>22</v>
      </c>
      <c r="D26" s="62">
        <f>+VLOOKUP(B26,[8]Resultado!$B$4:$E$29,3,0)</f>
        <v>1895</v>
      </c>
      <c r="E26" s="62">
        <f>+VLOOKUP(B26,[8]Resultado!$B$4:$E$29,4,0)</f>
        <v>2140</v>
      </c>
      <c r="F26" s="101"/>
      <c r="G26" s="295">
        <f>+ROUND((D26-E26),0)</f>
        <v>-245</v>
      </c>
      <c r="H26" s="320">
        <f>IFERROR(G26/E26,1)</f>
        <v>-0.11448598130841121</v>
      </c>
      <c r="I26" s="359"/>
      <c r="J26" s="295" t="e">
        <f>+ROUND((#REF!-#REF!),0)</f>
        <v>#REF!</v>
      </c>
      <c r="K26" s="320">
        <f>IFERROR(J26/#REF!,1)</f>
        <v>1</v>
      </c>
    </row>
    <row r="27" spans="2:11" s="102" customFormat="1" ht="21" customHeight="1" thickBot="1">
      <c r="B27" s="98" t="s">
        <v>131</v>
      </c>
      <c r="C27" s="99"/>
      <c r="D27" s="97">
        <f>+D25+D26</f>
        <v>133392316</v>
      </c>
      <c r="E27" s="97">
        <f t="shared" ref="E27" si="4">+E25+E26</f>
        <v>85250874</v>
      </c>
      <c r="F27" s="101"/>
      <c r="G27" s="318">
        <f>+ROUND((D27-E27),0)</f>
        <v>48141442</v>
      </c>
      <c r="H27" s="323">
        <f>IFERROR(G27/E27,1)</f>
        <v>0.56470320761755477</v>
      </c>
      <c r="I27" s="360"/>
      <c r="J27" s="318" t="e">
        <f>+ROUND((#REF!-#REF!),0)</f>
        <v>#REF!</v>
      </c>
      <c r="K27" s="323">
        <f>IFERROR(J27/#REF!,1)</f>
        <v>1</v>
      </c>
    </row>
    <row r="28" spans="2:11" s="102" customFormat="1" ht="21" customHeight="1">
      <c r="B28" s="100" t="s">
        <v>256</v>
      </c>
      <c r="C28" s="94"/>
      <c r="D28" s="101"/>
      <c r="E28" s="87"/>
      <c r="G28" s="295"/>
      <c r="H28" s="320"/>
      <c r="I28" s="359"/>
      <c r="J28" s="295"/>
      <c r="K28" s="320"/>
    </row>
    <row r="29" spans="2:11" s="102" customFormat="1" ht="21" customHeight="1">
      <c r="B29" s="290" t="s">
        <v>292</v>
      </c>
      <c r="C29" s="65">
        <f>+VLOOKUP(B29,[8]Resultado!$B$4:$E$29,2,0)</f>
        <v>31</v>
      </c>
      <c r="D29" s="291">
        <f>+D25/6118965</f>
        <v>21.799507106185441</v>
      </c>
      <c r="E29" s="291">
        <f>+E25/6118965</f>
        <v>13.931887827434869</v>
      </c>
      <c r="G29" s="295"/>
      <c r="H29" s="320"/>
      <c r="I29" s="359"/>
      <c r="J29" s="295"/>
      <c r="K29" s="320"/>
    </row>
    <row r="30" spans="2:11" s="102" customFormat="1" ht="21" customHeight="1" thickBot="1">
      <c r="B30" s="103" t="s">
        <v>132</v>
      </c>
      <c r="C30" s="104"/>
      <c r="D30" s="105">
        <f>+D29</f>
        <v>21.799507106185441</v>
      </c>
      <c r="E30" s="105">
        <f t="shared" ref="E30" si="5">+E29</f>
        <v>13.931887827434869</v>
      </c>
      <c r="G30" s="321"/>
      <c r="H30" s="322"/>
      <c r="I30" s="359"/>
      <c r="J30" s="321"/>
      <c r="K30" s="322"/>
    </row>
    <row r="31" spans="2:11" ht="9" customHeight="1">
      <c r="B31" s="111"/>
      <c r="C31" s="111"/>
      <c r="D31" s="111"/>
      <c r="E31" s="111"/>
    </row>
  </sheetData>
  <mergeCells count="6">
    <mergeCell ref="B3:B4"/>
    <mergeCell ref="C3:C4"/>
    <mergeCell ref="G3:H3"/>
    <mergeCell ref="J3:K3"/>
    <mergeCell ref="G2:H2"/>
    <mergeCell ref="J2:K2"/>
  </mergeCells>
  <pageMargins left="0.48" right="0.70866141732283472" top="0.74803149606299213" bottom="0.74803149606299213" header="0.31496062992125984" footer="0.31496062992125984"/>
  <pageSetup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>
    <tabColor rgb="FF92D050"/>
    <pageSetUpPr fitToPage="1"/>
  </sheetPr>
  <dimension ref="B1:L73"/>
  <sheetViews>
    <sheetView showGridLines="0" zoomScale="90" zoomScaleNormal="90" workbookViewId="0">
      <selection activeCell="D2" sqref="D2"/>
    </sheetView>
  </sheetViews>
  <sheetFormatPr baseColWidth="10" defaultColWidth="11.44140625" defaultRowHeight="13.8"/>
  <cols>
    <col min="1" max="1" width="6.109375" style="110" customWidth="1"/>
    <col min="2" max="2" width="71.88671875" style="110" customWidth="1"/>
    <col min="3" max="3" width="5.5546875" style="110" customWidth="1"/>
    <col min="4" max="5" width="12.44140625" style="110" bestFit="1" customWidth="1"/>
    <col min="6" max="6" width="4.88671875" style="110" customWidth="1"/>
    <col min="7" max="7" width="12" style="312" bestFit="1" customWidth="1"/>
    <col min="8" max="8" width="11.44140625" style="314"/>
    <col min="9" max="9" width="11.44140625" style="110"/>
    <col min="10" max="10" width="13.6640625" style="110" customWidth="1"/>
    <col min="11" max="11" width="12.33203125" style="110" bestFit="1" customWidth="1"/>
    <col min="12" max="16384" width="11.44140625" style="110"/>
  </cols>
  <sheetData>
    <row r="1" spans="2:12" ht="14.4" thickBot="1"/>
    <row r="2" spans="2:12" s="111" customFormat="1" ht="12" customHeight="1">
      <c r="B2" s="475" t="s">
        <v>223</v>
      </c>
      <c r="C2" s="477" t="s">
        <v>106</v>
      </c>
      <c r="D2" s="287">
        <f>+Resultado!D3</f>
        <v>45291</v>
      </c>
      <c r="E2" s="288">
        <f>+Resultado!E3</f>
        <v>44926</v>
      </c>
      <c r="G2" s="472" t="s">
        <v>238</v>
      </c>
      <c r="H2" s="473"/>
    </row>
    <row r="3" spans="2:12" s="111" customFormat="1" ht="12" customHeight="1">
      <c r="B3" s="476"/>
      <c r="C3" s="478"/>
      <c r="D3" s="112" t="s">
        <v>8</v>
      </c>
      <c r="E3" s="113" t="s">
        <v>8</v>
      </c>
      <c r="G3" s="324" t="s">
        <v>8</v>
      </c>
      <c r="H3" s="325" t="s">
        <v>70</v>
      </c>
    </row>
    <row r="4" spans="2:12" s="116" customFormat="1" ht="21" customHeight="1">
      <c r="B4" s="106" t="s">
        <v>134</v>
      </c>
      <c r="C4" s="107"/>
      <c r="D4" s="333">
        <f>+VLOOKUP(B4,[8]Flujo!$B:$E,3,0)</f>
        <v>735405398</v>
      </c>
      <c r="E4" s="333">
        <f>+VLOOKUP(B4,[8]Flujo!$B:$E,4,0)</f>
        <v>651478729</v>
      </c>
      <c r="F4" s="115"/>
      <c r="G4" s="295">
        <f>ROUND(+(D4-E4),0)</f>
        <v>83926669</v>
      </c>
      <c r="H4" s="326">
        <f>+IFERROR(G4/E4,1)</f>
        <v>0.12882487986802713</v>
      </c>
      <c r="K4" s="289"/>
      <c r="L4" s="289"/>
    </row>
    <row r="5" spans="2:12" s="116" customFormat="1" ht="21" customHeight="1">
      <c r="B5" s="106" t="s">
        <v>136</v>
      </c>
      <c r="C5" s="107"/>
      <c r="D5" s="333">
        <f>+VLOOKUP(B5,[8]Flujo!$B:$E,3,0)</f>
        <v>0</v>
      </c>
      <c r="E5" s="333">
        <f>+VLOOKUP(B5,[8]Flujo!$B:$E,4,0)</f>
        <v>0</v>
      </c>
      <c r="F5" s="115"/>
      <c r="G5" s="295">
        <f t="shared" ref="G5:G62" si="0">ROUND(+(D5-E5),0)</f>
        <v>0</v>
      </c>
      <c r="H5" s="326"/>
    </row>
    <row r="6" spans="2:12" s="116" customFormat="1" ht="21" customHeight="1">
      <c r="B6" s="106" t="s">
        <v>135</v>
      </c>
      <c r="C6" s="107"/>
      <c r="D6" s="333">
        <f>+VLOOKUP(B6,[8]Flujo!$B:$E,3,0)</f>
        <v>0</v>
      </c>
      <c r="E6" s="333">
        <f>+VLOOKUP(B6,[8]Flujo!$B:$E,4,0)</f>
        <v>0</v>
      </c>
      <c r="F6" s="115"/>
      <c r="G6" s="295">
        <f t="shared" si="0"/>
        <v>0</v>
      </c>
      <c r="H6" s="326"/>
    </row>
    <row r="7" spans="2:12" s="116" customFormat="1" ht="21" customHeight="1">
      <c r="B7" s="106" t="s">
        <v>137</v>
      </c>
      <c r="C7" s="107"/>
      <c r="D7" s="333">
        <f>+VLOOKUP(B7,[8]Flujo!$B:$E,3,0)</f>
        <v>0</v>
      </c>
      <c r="E7" s="333">
        <f>+VLOOKUP(B7,[8]Flujo!$B:$E,4,0)</f>
        <v>0</v>
      </c>
      <c r="F7" s="115"/>
      <c r="G7" s="295">
        <f t="shared" si="0"/>
        <v>0</v>
      </c>
      <c r="H7" s="326">
        <f t="shared" ref="H7:H64" si="1">+IFERROR(G7/E7,1)</f>
        <v>1</v>
      </c>
      <c r="K7" s="289"/>
      <c r="L7" s="289"/>
    </row>
    <row r="8" spans="2:12" s="116" customFormat="1" ht="21" customHeight="1">
      <c r="B8" s="106" t="s">
        <v>138</v>
      </c>
      <c r="C8" s="107"/>
      <c r="D8" s="333">
        <f>+VLOOKUP(B8,[8]Flujo!$B:$E,3,0)</f>
        <v>4052259</v>
      </c>
      <c r="E8" s="333">
        <f>+VLOOKUP(B8,[8]Flujo!$B:$E,4,0)</f>
        <v>5324429</v>
      </c>
      <c r="F8" s="115"/>
      <c r="G8" s="295">
        <f t="shared" si="0"/>
        <v>-1272170</v>
      </c>
      <c r="H8" s="326">
        <f t="shared" si="1"/>
        <v>-0.23893078487852876</v>
      </c>
      <c r="K8" s="289"/>
      <c r="L8" s="289"/>
    </row>
    <row r="9" spans="2:12" s="116" customFormat="1" ht="21" customHeight="1">
      <c r="B9" s="108" t="s">
        <v>133</v>
      </c>
      <c r="C9" s="107"/>
      <c r="D9" s="334">
        <f>SUM(D4:D8)</f>
        <v>739457657</v>
      </c>
      <c r="E9" s="335">
        <f>SUM(E4:E8)</f>
        <v>656803158</v>
      </c>
      <c r="F9" s="115"/>
      <c r="G9" s="296">
        <f t="shared" si="0"/>
        <v>82654499</v>
      </c>
      <c r="H9" s="328">
        <f t="shared" si="1"/>
        <v>0.12584363822440695</v>
      </c>
      <c r="K9" s="289"/>
      <c r="L9" s="289"/>
    </row>
    <row r="10" spans="2:12" s="116" customFormat="1" ht="21" customHeight="1">
      <c r="B10" s="106" t="s">
        <v>139</v>
      </c>
      <c r="C10" s="107"/>
      <c r="D10" s="333">
        <f>+VLOOKUP(B10,[8]Flujo!$B:$E,3,0)</f>
        <v>-272674204</v>
      </c>
      <c r="E10" s="333">
        <f>+VLOOKUP(B10,[8]Flujo!$B:$E,4,0)</f>
        <v>-236712721</v>
      </c>
      <c r="F10" s="115"/>
      <c r="G10" s="397">
        <f t="shared" si="0"/>
        <v>-35961483</v>
      </c>
      <c r="H10" s="326">
        <f t="shared" si="1"/>
        <v>0.15192036510788112</v>
      </c>
      <c r="K10" s="289"/>
      <c r="L10" s="289"/>
    </row>
    <row r="11" spans="2:12" s="116" customFormat="1" ht="21" customHeight="1">
      <c r="B11" s="106" t="s">
        <v>140</v>
      </c>
      <c r="C11" s="107"/>
      <c r="D11" s="333">
        <f>+VLOOKUP(B11,[8]Flujo!$B:$E,3,0)</f>
        <v>0</v>
      </c>
      <c r="E11" s="333">
        <f>+VLOOKUP(B11,[8]Flujo!$B:$E,4,0)</f>
        <v>0</v>
      </c>
      <c r="F11" s="115"/>
      <c r="G11" s="295">
        <f t="shared" si="0"/>
        <v>0</v>
      </c>
      <c r="H11" s="326">
        <f t="shared" si="1"/>
        <v>1</v>
      </c>
      <c r="K11" s="289"/>
      <c r="L11" s="289"/>
    </row>
    <row r="12" spans="2:12" s="116" customFormat="1" ht="21" customHeight="1">
      <c r="B12" s="106" t="s">
        <v>141</v>
      </c>
      <c r="C12" s="109"/>
      <c r="D12" s="333">
        <f>+VLOOKUP(B12,[8]Flujo!$B:$E,3,0)</f>
        <v>-80236579</v>
      </c>
      <c r="E12" s="333">
        <f>+VLOOKUP(B12,[8]Flujo!$B:$E,4,0)</f>
        <v>-66459337</v>
      </c>
      <c r="F12" s="115"/>
      <c r="G12" s="295">
        <f t="shared" si="0"/>
        <v>-13777242</v>
      </c>
      <c r="H12" s="326">
        <f t="shared" si="1"/>
        <v>0.20730333196071457</v>
      </c>
      <c r="K12" s="289"/>
      <c r="L12" s="289"/>
    </row>
    <row r="13" spans="2:12" s="116" customFormat="1" ht="21" customHeight="1">
      <c r="B13" s="106" t="s">
        <v>142</v>
      </c>
      <c r="C13" s="107"/>
      <c r="D13" s="333">
        <f>+VLOOKUP(B13,[8]Flujo!$B:$E,3,0)</f>
        <v>-8600442</v>
      </c>
      <c r="E13" s="333">
        <f>+VLOOKUP(B13,[8]Flujo!$B:$E,4,0)</f>
        <v>-5934028</v>
      </c>
      <c r="F13" s="115"/>
      <c r="G13" s="397">
        <f>ROUND(+(D13-E13),0)</f>
        <v>-2666414</v>
      </c>
      <c r="H13" s="326">
        <f t="shared" si="1"/>
        <v>0.4493430095038311</v>
      </c>
      <c r="K13" s="289"/>
      <c r="L13" s="289"/>
    </row>
    <row r="14" spans="2:12" s="116" customFormat="1" ht="21" customHeight="1">
      <c r="B14" s="106" t="s">
        <v>143</v>
      </c>
      <c r="C14" s="107"/>
      <c r="D14" s="333">
        <f>+VLOOKUP(B14,[8]Flujo!$B:$E,3,0)</f>
        <v>-50563071</v>
      </c>
      <c r="E14" s="333">
        <f>+VLOOKUP(B14,[8]Flujo!$B:$E,4,0)</f>
        <v>-47217815</v>
      </c>
      <c r="F14" s="115"/>
      <c r="G14" s="295">
        <f t="shared" si="0"/>
        <v>-3345256</v>
      </c>
      <c r="H14" s="326">
        <f t="shared" si="1"/>
        <v>7.0847327433512117E-2</v>
      </c>
      <c r="I14" s="116" t="s">
        <v>327</v>
      </c>
      <c r="K14" s="289"/>
      <c r="L14" s="289"/>
    </row>
    <row r="15" spans="2:12" s="116" customFormat="1" ht="21" customHeight="1">
      <c r="B15" s="108" t="s">
        <v>224</v>
      </c>
      <c r="C15" s="107"/>
      <c r="D15" s="334">
        <f>SUM(D10:D14)</f>
        <v>-412074296</v>
      </c>
      <c r="E15" s="335">
        <f>SUM(E10:E14)</f>
        <v>-356323901</v>
      </c>
      <c r="F15" s="115"/>
      <c r="G15" s="296">
        <f t="shared" si="0"/>
        <v>-55750395</v>
      </c>
      <c r="H15" s="328">
        <f t="shared" si="1"/>
        <v>0.15645988058488391</v>
      </c>
      <c r="K15" s="289"/>
      <c r="L15" s="289"/>
    </row>
    <row r="16" spans="2:12" s="116" customFormat="1" ht="21" customHeight="1">
      <c r="B16" s="106" t="s">
        <v>383</v>
      </c>
      <c r="C16" s="107"/>
      <c r="D16" s="333">
        <f>+VLOOKUP(B16,[8]Flujo!$B:$E,3,0)</f>
        <v>0</v>
      </c>
      <c r="E16" s="333">
        <f>+VLOOKUP(B16,[8]Flujo!$B:$E,4,0)</f>
        <v>0</v>
      </c>
      <c r="F16" s="115"/>
      <c r="G16" s="295"/>
      <c r="H16" s="326">
        <f t="shared" si="1"/>
        <v>1</v>
      </c>
      <c r="K16" s="289"/>
      <c r="L16" s="289"/>
    </row>
    <row r="17" spans="2:12" s="116" customFormat="1" ht="21" customHeight="1">
      <c r="B17" s="106" t="s">
        <v>384</v>
      </c>
      <c r="C17" s="107"/>
      <c r="D17" s="333">
        <f>+VLOOKUP(B17,[8]Flujo!$B:$E,3,0)</f>
        <v>0</v>
      </c>
      <c r="E17" s="333">
        <f>+VLOOKUP(B17,[8]Flujo!$B:$E,4,0)</f>
        <v>0</v>
      </c>
      <c r="F17" s="115"/>
      <c r="G17" s="295"/>
      <c r="H17" s="326">
        <f t="shared" si="1"/>
        <v>1</v>
      </c>
      <c r="K17" s="289"/>
      <c r="L17" s="289"/>
    </row>
    <row r="18" spans="2:12" s="116" customFormat="1" ht="21" customHeight="1">
      <c r="B18" s="106" t="s">
        <v>385</v>
      </c>
      <c r="C18" s="107"/>
      <c r="D18" s="333">
        <f>+VLOOKUP(B18,[8]Flujo!$B:$E,3,0)</f>
        <v>-48001819</v>
      </c>
      <c r="E18" s="333">
        <f>+VLOOKUP(B18,[8]Flujo!$B:$E,4,0)</f>
        <v>-36611956</v>
      </c>
      <c r="F18" s="115"/>
      <c r="G18" s="397">
        <f t="shared" si="0"/>
        <v>-11389863</v>
      </c>
      <c r="H18" s="326">
        <f t="shared" si="1"/>
        <v>0.3110968176625144</v>
      </c>
      <c r="K18" s="289"/>
      <c r="L18" s="289"/>
    </row>
    <row r="19" spans="2:12" s="116" customFormat="1" ht="21" customHeight="1">
      <c r="B19" s="106" t="s">
        <v>386</v>
      </c>
      <c r="C19" s="107"/>
      <c r="D19" s="333">
        <f>+VLOOKUP(B19,[8]Flujo!$B:$E,3,0)</f>
        <v>16092060</v>
      </c>
      <c r="E19" s="333">
        <f>+VLOOKUP(B19,[8]Flujo!$B:$E,4,0)</f>
        <v>12776309</v>
      </c>
      <c r="F19" s="115"/>
      <c r="G19" s="295">
        <f t="shared" si="0"/>
        <v>3315751</v>
      </c>
      <c r="H19" s="326">
        <f t="shared" si="1"/>
        <v>0.2595233881710281</v>
      </c>
      <c r="I19" s="116" t="s">
        <v>332</v>
      </c>
      <c r="K19" s="289"/>
      <c r="L19" s="289"/>
    </row>
    <row r="20" spans="2:12" s="116" customFormat="1" ht="21" customHeight="1">
      <c r="B20" s="106" t="s">
        <v>382</v>
      </c>
      <c r="C20" s="107"/>
      <c r="D20" s="333">
        <f>+VLOOKUP(B20,[8]Flujo!$B:$E,3,0)</f>
        <v>-53505003</v>
      </c>
      <c r="E20" s="333">
        <f>+VLOOKUP(B20,[8]Flujo!$B:$E,4,0)</f>
        <v>-30087796</v>
      </c>
      <c r="F20" s="115"/>
      <c r="G20" s="397">
        <f t="shared" si="0"/>
        <v>-23417207</v>
      </c>
      <c r="H20" s="326">
        <f t="shared" si="1"/>
        <v>0.77829585789534073</v>
      </c>
      <c r="K20" s="289"/>
      <c r="L20" s="289"/>
    </row>
    <row r="21" spans="2:12" s="116" customFormat="1" ht="21" customHeight="1">
      <c r="B21" s="106" t="s">
        <v>387</v>
      </c>
      <c r="C21" s="107"/>
      <c r="D21" s="333">
        <f>+VLOOKUP(B21,[8]Flujo!$B:$E,3,0)</f>
        <v>-12571148</v>
      </c>
      <c r="E21" s="333">
        <f>+VLOOKUP(B21,[8]Flujo!$B:$E,4,0)</f>
        <v>-3652574</v>
      </c>
      <c r="F21" s="115"/>
      <c r="G21" s="295">
        <f t="shared" si="0"/>
        <v>-8918574</v>
      </c>
      <c r="H21" s="326">
        <f t="shared" si="1"/>
        <v>2.4417230150573266</v>
      </c>
      <c r="K21" s="289"/>
      <c r="L21" s="289"/>
    </row>
    <row r="22" spans="2:12" s="116" customFormat="1" ht="21" customHeight="1" thickBot="1">
      <c r="B22" s="108" t="s">
        <v>310</v>
      </c>
      <c r="C22" s="107"/>
      <c r="D22" s="335">
        <f>SUM(D16:D21)</f>
        <v>-97985910</v>
      </c>
      <c r="E22" s="335">
        <f>SUM(E16:E21)</f>
        <v>-57576017</v>
      </c>
      <c r="F22" s="115"/>
      <c r="G22" s="296">
        <f t="shared" si="0"/>
        <v>-40409893</v>
      </c>
      <c r="H22" s="328">
        <f t="shared" si="1"/>
        <v>0.70185287391449813</v>
      </c>
      <c r="K22" s="289"/>
      <c r="L22" s="289"/>
    </row>
    <row r="23" spans="2:12" s="116" customFormat="1" ht="21" customHeight="1" thickBot="1">
      <c r="B23" s="118" t="s">
        <v>311</v>
      </c>
      <c r="C23" s="119"/>
      <c r="D23" s="336">
        <f>+D9+D15+D22</f>
        <v>229397451</v>
      </c>
      <c r="E23" s="336">
        <f>+E9+E15+E22</f>
        <v>242903240</v>
      </c>
      <c r="F23" s="115"/>
      <c r="G23" s="318">
        <f>ROUND(+(D23-E23),0)</f>
        <v>-13505789</v>
      </c>
      <c r="H23" s="329">
        <f t="shared" si="1"/>
        <v>-5.5601518530588562E-2</v>
      </c>
      <c r="K23" s="289"/>
      <c r="L23" s="289"/>
    </row>
    <row r="24" spans="2:12" s="116" customFormat="1" ht="21" customHeight="1">
      <c r="B24" s="117" t="s">
        <v>148</v>
      </c>
      <c r="C24" s="114"/>
      <c r="D24" s="333">
        <f>+VLOOKUP(B24,[8]Flujo!$B:$E,3,0)</f>
        <v>0</v>
      </c>
      <c r="E24" s="333">
        <f>+VLOOKUP(B24,[8]Flujo!$B:$E,4,0)</f>
        <v>0</v>
      </c>
      <c r="F24" s="115"/>
      <c r="G24" s="295">
        <f t="shared" si="0"/>
        <v>0</v>
      </c>
      <c r="H24" s="326">
        <f t="shared" si="1"/>
        <v>1</v>
      </c>
      <c r="K24" s="289"/>
      <c r="L24" s="289"/>
    </row>
    <row r="25" spans="2:12" s="116" customFormat="1" ht="21" customHeight="1">
      <c r="B25" s="117" t="s">
        <v>149</v>
      </c>
      <c r="C25" s="114"/>
      <c r="D25" s="333">
        <f>+VLOOKUP(B25,[8]Flujo!$B:$E,3,0)</f>
        <v>0</v>
      </c>
      <c r="E25" s="333">
        <f>+VLOOKUP(B25,[8]Flujo!$B:$E,4,0)</f>
        <v>0</v>
      </c>
      <c r="F25" s="115"/>
      <c r="G25" s="295">
        <f t="shared" si="0"/>
        <v>0</v>
      </c>
      <c r="H25" s="326">
        <f t="shared" si="1"/>
        <v>1</v>
      </c>
      <c r="K25" s="289"/>
      <c r="L25" s="289"/>
    </row>
    <row r="26" spans="2:12" s="116" customFormat="1" ht="21" customHeight="1">
      <c r="B26" s="117" t="s">
        <v>150</v>
      </c>
      <c r="C26" s="114"/>
      <c r="D26" s="333">
        <f>+VLOOKUP(B26,[8]Flujo!$B:$E,3,0)</f>
        <v>0</v>
      </c>
      <c r="E26" s="333">
        <f>+VLOOKUP(B26,[8]Flujo!$B:$E,4,0)</f>
        <v>0</v>
      </c>
      <c r="F26" s="115"/>
      <c r="G26" s="295">
        <f t="shared" si="0"/>
        <v>0</v>
      </c>
      <c r="H26" s="326">
        <f t="shared" si="1"/>
        <v>1</v>
      </c>
      <c r="K26" s="289"/>
      <c r="L26" s="289"/>
    </row>
    <row r="27" spans="2:12" s="116" customFormat="1" ht="21" customHeight="1">
      <c r="B27" s="117" t="s">
        <v>151</v>
      </c>
      <c r="C27" s="114"/>
      <c r="D27" s="333">
        <f>+VLOOKUP(B27,[8]Flujo!$B:$E,3,0)</f>
        <v>0</v>
      </c>
      <c r="E27" s="333">
        <f>+VLOOKUP(B27,[8]Flujo!$B:$E,4,0)</f>
        <v>0</v>
      </c>
      <c r="F27" s="115"/>
      <c r="G27" s="295">
        <f t="shared" si="0"/>
        <v>0</v>
      </c>
      <c r="H27" s="326">
        <f t="shared" si="1"/>
        <v>1</v>
      </c>
      <c r="K27" s="289"/>
      <c r="L27" s="289"/>
    </row>
    <row r="28" spans="2:12" s="116" customFormat="1" ht="21" customHeight="1">
      <c r="B28" s="117" t="s">
        <v>152</v>
      </c>
      <c r="C28" s="114"/>
      <c r="D28" s="333">
        <f>+VLOOKUP(B28,[8]Flujo!$B:$E,3,0)</f>
        <v>0</v>
      </c>
      <c r="E28" s="333">
        <f>+VLOOKUP(B28,[8]Flujo!$B:$E,4,0)</f>
        <v>0</v>
      </c>
      <c r="F28" s="115"/>
      <c r="G28" s="295">
        <f t="shared" si="0"/>
        <v>0</v>
      </c>
      <c r="H28" s="326">
        <f t="shared" si="1"/>
        <v>1</v>
      </c>
      <c r="K28" s="289"/>
      <c r="L28" s="289"/>
    </row>
    <row r="29" spans="2:12" s="116" customFormat="1" ht="21" customHeight="1">
      <c r="B29" s="117" t="s">
        <v>153</v>
      </c>
      <c r="C29" s="114"/>
      <c r="D29" s="333">
        <f>+VLOOKUP(B29,[8]Flujo!$B:$E,3,0)</f>
        <v>0</v>
      </c>
      <c r="E29" s="333">
        <f>+VLOOKUP(B29,[8]Flujo!$B:$E,4,0)</f>
        <v>0</v>
      </c>
      <c r="F29" s="115"/>
      <c r="G29" s="295">
        <f t="shared" si="0"/>
        <v>0</v>
      </c>
      <c r="H29" s="326">
        <f t="shared" si="1"/>
        <v>1</v>
      </c>
      <c r="K29" s="289"/>
      <c r="L29" s="289"/>
    </row>
    <row r="30" spans="2:12" s="116" customFormat="1" ht="21" customHeight="1">
      <c r="B30" s="117" t="s">
        <v>154</v>
      </c>
      <c r="C30" s="114"/>
      <c r="D30" s="333">
        <f>+VLOOKUP(B30,[8]Flujo!$B:$E,3,0)</f>
        <v>0</v>
      </c>
      <c r="E30" s="333">
        <f>+VLOOKUP(B30,[8]Flujo!$B:$E,4,0)</f>
        <v>0</v>
      </c>
      <c r="F30" s="115"/>
      <c r="G30" s="295">
        <f t="shared" si="0"/>
        <v>0</v>
      </c>
      <c r="H30" s="326">
        <f t="shared" si="1"/>
        <v>1</v>
      </c>
      <c r="K30" s="289"/>
      <c r="L30" s="289"/>
    </row>
    <row r="31" spans="2:12" s="116" customFormat="1" ht="21" customHeight="1">
      <c r="B31" s="117" t="s">
        <v>155</v>
      </c>
      <c r="C31" s="114"/>
      <c r="D31" s="333">
        <f>+VLOOKUP(B31,[8]Flujo!$B:$E,3,0)</f>
        <v>0</v>
      </c>
      <c r="E31" s="333">
        <f>+VLOOKUP(B31,[8]Flujo!$B:$E,4,0)</f>
        <v>0</v>
      </c>
      <c r="F31" s="115"/>
      <c r="G31" s="295">
        <f t="shared" si="0"/>
        <v>0</v>
      </c>
      <c r="H31" s="326">
        <f t="shared" si="1"/>
        <v>1</v>
      </c>
      <c r="K31" s="289"/>
      <c r="L31" s="289"/>
    </row>
    <row r="32" spans="2:12" s="116" customFormat="1" ht="21" customHeight="1">
      <c r="B32" s="117" t="s">
        <v>293</v>
      </c>
      <c r="C32" s="114"/>
      <c r="D32" s="333">
        <f>+VLOOKUP(B32,[8]Flujo!$B:$E,3,0)</f>
        <v>5001192</v>
      </c>
      <c r="E32" s="333">
        <f>+VLOOKUP(B32,[8]Flujo!$B:$E,4,0)</f>
        <v>646541</v>
      </c>
      <c r="F32" s="115"/>
      <c r="G32" s="295">
        <f t="shared" si="0"/>
        <v>4354651</v>
      </c>
      <c r="H32" s="326">
        <f t="shared" si="1"/>
        <v>6.7353052629299608</v>
      </c>
      <c r="K32" s="289"/>
      <c r="L32" s="289"/>
    </row>
    <row r="33" spans="2:12" s="116" customFormat="1" ht="21" customHeight="1">
      <c r="B33" s="117" t="s">
        <v>156</v>
      </c>
      <c r="C33" s="114"/>
      <c r="D33" s="333">
        <f>+VLOOKUP(B33,[8]Flujo!$B:$E,3,0)</f>
        <v>-149645668</v>
      </c>
      <c r="E33" s="333">
        <f>+VLOOKUP(B33,[8]Flujo!$B:$E,4,0)</f>
        <v>-161366864</v>
      </c>
      <c r="F33" s="115"/>
      <c r="G33" s="295">
        <f t="shared" si="0"/>
        <v>11721196</v>
      </c>
      <c r="H33" s="326">
        <f t="shared" si="1"/>
        <v>-7.2636944843893103E-2</v>
      </c>
      <c r="K33" s="289"/>
      <c r="L33" s="289"/>
    </row>
    <row r="34" spans="2:12" s="116" customFormat="1" ht="21" customHeight="1">
      <c r="B34" s="117" t="s">
        <v>236</v>
      </c>
      <c r="C34" s="114"/>
      <c r="D34" s="333">
        <f>+VLOOKUP(B34,[8]Flujo!$B:$E,3,0)</f>
        <v>0</v>
      </c>
      <c r="E34" s="333">
        <f>+VLOOKUP(B34,[8]Flujo!$B:$E,4,0)</f>
        <v>0</v>
      </c>
      <c r="F34" s="115"/>
      <c r="G34" s="295">
        <f t="shared" si="0"/>
        <v>0</v>
      </c>
      <c r="H34" s="326">
        <f t="shared" si="1"/>
        <v>1</v>
      </c>
      <c r="K34" s="289"/>
      <c r="L34" s="289"/>
    </row>
    <row r="35" spans="2:12" s="116" customFormat="1" ht="21" customHeight="1">
      <c r="B35" s="117" t="s">
        <v>157</v>
      </c>
      <c r="C35" s="114"/>
      <c r="D35" s="333">
        <f>+VLOOKUP(B35,[8]Flujo!$B:$E,3,0)</f>
        <v>-4494138</v>
      </c>
      <c r="E35" s="333">
        <f>+VLOOKUP(B35,[8]Flujo!$B:$E,4,0)</f>
        <v>-5180385</v>
      </c>
      <c r="F35" s="115"/>
      <c r="G35" s="295">
        <f t="shared" si="0"/>
        <v>686247</v>
      </c>
      <c r="H35" s="326">
        <f t="shared" si="1"/>
        <v>-0.13247027006680007</v>
      </c>
      <c r="K35" s="289"/>
      <c r="L35" s="289"/>
    </row>
    <row r="36" spans="2:12" s="116" customFormat="1" ht="21" customHeight="1">
      <c r="B36" s="117" t="s">
        <v>225</v>
      </c>
      <c r="C36" s="114"/>
      <c r="D36" s="333">
        <f>+VLOOKUP(B36,[8]Flujo!$B:$E,3,0)</f>
        <v>0</v>
      </c>
      <c r="E36" s="333">
        <f>+VLOOKUP(B36,[8]Flujo!$B:$E,4,0)</f>
        <v>0</v>
      </c>
      <c r="F36" s="115"/>
      <c r="G36" s="295">
        <f t="shared" si="0"/>
        <v>0</v>
      </c>
      <c r="H36" s="326">
        <f t="shared" si="1"/>
        <v>1</v>
      </c>
      <c r="K36" s="289"/>
      <c r="L36" s="289"/>
    </row>
    <row r="37" spans="2:12" s="116" customFormat="1" ht="21" customHeight="1">
      <c r="B37" s="117" t="s">
        <v>158</v>
      </c>
      <c r="C37" s="114"/>
      <c r="D37" s="333">
        <f>+VLOOKUP(B37,[8]Flujo!$B:$E,3,0)</f>
        <v>0</v>
      </c>
      <c r="E37" s="333">
        <f>+VLOOKUP(B37,[8]Flujo!$B:$E,4,0)</f>
        <v>0</v>
      </c>
      <c r="F37" s="115"/>
      <c r="G37" s="295">
        <f t="shared" si="0"/>
        <v>0</v>
      </c>
      <c r="H37" s="326">
        <f t="shared" si="1"/>
        <v>1</v>
      </c>
      <c r="K37" s="289"/>
      <c r="L37" s="289"/>
    </row>
    <row r="38" spans="2:12" s="116" customFormat="1" ht="21" customHeight="1">
      <c r="B38" s="117" t="s">
        <v>388</v>
      </c>
      <c r="C38" s="114"/>
      <c r="D38" s="333">
        <f>+VLOOKUP(B38,[8]Flujo!$B:$E,3,0)</f>
        <v>0</v>
      </c>
      <c r="E38" s="333">
        <f>+VLOOKUP(B38,[8]Flujo!$B:$E,4,0)</f>
        <v>0</v>
      </c>
      <c r="F38" s="115"/>
      <c r="G38" s="295">
        <f t="shared" si="0"/>
        <v>0</v>
      </c>
      <c r="H38" s="326">
        <f t="shared" si="1"/>
        <v>1</v>
      </c>
      <c r="K38" s="289"/>
      <c r="L38" s="289"/>
    </row>
    <row r="39" spans="2:12" s="116" customFormat="1" ht="21" customHeight="1">
      <c r="B39" s="117" t="s">
        <v>160</v>
      </c>
      <c r="C39" s="114"/>
      <c r="D39" s="333">
        <f>+VLOOKUP(B39,[8]Flujo!$B:$E,3,0)</f>
        <v>0</v>
      </c>
      <c r="E39" s="333">
        <f>+VLOOKUP(B39,[8]Flujo!$B:$E,4,0)</f>
        <v>0</v>
      </c>
      <c r="F39" s="115"/>
      <c r="G39" s="295">
        <f t="shared" si="0"/>
        <v>0</v>
      </c>
      <c r="H39" s="326">
        <f t="shared" si="1"/>
        <v>1</v>
      </c>
      <c r="K39" s="289"/>
      <c r="L39" s="289"/>
    </row>
    <row r="40" spans="2:12" s="116" customFormat="1" ht="21" customHeight="1">
      <c r="B40" s="117" t="s">
        <v>161</v>
      </c>
      <c r="C40" s="114"/>
      <c r="D40" s="333">
        <f>+VLOOKUP(B40,[8]Flujo!$B:$E,3,0)</f>
        <v>0</v>
      </c>
      <c r="E40" s="333">
        <f>+VLOOKUP(B40,[8]Flujo!$B:$E,4,0)</f>
        <v>0</v>
      </c>
      <c r="F40" s="115"/>
      <c r="G40" s="295">
        <f t="shared" si="0"/>
        <v>0</v>
      </c>
      <c r="H40" s="326">
        <f t="shared" si="1"/>
        <v>1</v>
      </c>
      <c r="K40" s="289"/>
      <c r="L40" s="289"/>
    </row>
    <row r="41" spans="2:12" s="116" customFormat="1" ht="21" customHeight="1">
      <c r="B41" s="117" t="s">
        <v>162</v>
      </c>
      <c r="C41" s="114"/>
      <c r="D41" s="333">
        <f>+VLOOKUP(B41,[8]Flujo!$B:$E,3,0)</f>
        <v>0</v>
      </c>
      <c r="E41" s="333">
        <f>+VLOOKUP(B41,[8]Flujo!$B:$E,4,0)</f>
        <v>0</v>
      </c>
      <c r="F41" s="115"/>
      <c r="G41" s="295">
        <f t="shared" si="0"/>
        <v>0</v>
      </c>
      <c r="H41" s="326">
        <f t="shared" si="1"/>
        <v>1</v>
      </c>
      <c r="K41" s="289"/>
      <c r="L41" s="289"/>
    </row>
    <row r="42" spans="2:12" s="116" customFormat="1" ht="21" customHeight="1">
      <c r="B42" s="117" t="s">
        <v>163</v>
      </c>
      <c r="C42" s="114"/>
      <c r="D42" s="333">
        <f>+VLOOKUP(B42,[8]Flujo!$B:$E,3,0)</f>
        <v>0</v>
      </c>
      <c r="E42" s="333">
        <f>+VLOOKUP(B42,[8]Flujo!$B:$E,4,0)</f>
        <v>0</v>
      </c>
      <c r="F42" s="115"/>
      <c r="G42" s="295">
        <f t="shared" si="0"/>
        <v>0</v>
      </c>
      <c r="H42" s="326">
        <f t="shared" si="1"/>
        <v>1</v>
      </c>
      <c r="K42" s="289"/>
      <c r="L42" s="289"/>
    </row>
    <row r="43" spans="2:12" s="116" customFormat="1" ht="21" customHeight="1">
      <c r="B43" s="117" t="s">
        <v>226</v>
      </c>
      <c r="C43" s="114"/>
      <c r="D43" s="333">
        <f>+VLOOKUP(B43,[8]Flujo!$B:$E,3,0)</f>
        <v>0</v>
      </c>
      <c r="E43" s="333">
        <f>+VLOOKUP(B43,[8]Flujo!$B:$E,4,0)</f>
        <v>0</v>
      </c>
      <c r="F43" s="115"/>
      <c r="G43" s="295">
        <f t="shared" si="0"/>
        <v>0</v>
      </c>
      <c r="H43" s="326">
        <f t="shared" si="1"/>
        <v>1</v>
      </c>
      <c r="K43" s="289"/>
      <c r="L43" s="289"/>
    </row>
    <row r="44" spans="2:12" s="116" customFormat="1" ht="21" customHeight="1">
      <c r="B44" s="117" t="s">
        <v>145</v>
      </c>
      <c r="C44" s="114"/>
      <c r="D44" s="333">
        <f>+VLOOKUP(B44,[8]Flujo!$B:$E,3,0)</f>
        <v>0</v>
      </c>
      <c r="E44" s="333">
        <f>+VLOOKUP(B44,[8]Flujo!$B:$E,4,0)</f>
        <v>0</v>
      </c>
      <c r="F44" s="115"/>
      <c r="G44" s="295">
        <f t="shared" si="0"/>
        <v>0</v>
      </c>
      <c r="H44" s="326">
        <f t="shared" si="1"/>
        <v>1</v>
      </c>
      <c r="K44" s="289"/>
      <c r="L44" s="289"/>
    </row>
    <row r="45" spans="2:12" s="116" customFormat="1" ht="21" customHeight="1">
      <c r="B45" s="117" t="s">
        <v>147</v>
      </c>
      <c r="C45" s="114"/>
      <c r="D45" s="333">
        <f>+VLOOKUP(B45,[8]Flujo!$B:$E,3,0)</f>
        <v>0</v>
      </c>
      <c r="E45" s="333">
        <f>+VLOOKUP(B45,[8]Flujo!$B:$E,4,0)</f>
        <v>0</v>
      </c>
      <c r="F45" s="115"/>
      <c r="G45" s="295">
        <f t="shared" si="0"/>
        <v>0</v>
      </c>
      <c r="H45" s="326">
        <f t="shared" si="1"/>
        <v>1</v>
      </c>
      <c r="K45" s="289"/>
      <c r="L45" s="289"/>
    </row>
    <row r="46" spans="2:12" s="116" customFormat="1" ht="21" customHeight="1">
      <c r="B46" s="117" t="s">
        <v>389</v>
      </c>
      <c r="C46" s="114"/>
      <c r="D46" s="333">
        <f>+VLOOKUP(B46,[8]Flujo!$B:$E,3,0)</f>
        <v>0</v>
      </c>
      <c r="E46" s="333">
        <f>+VLOOKUP(B46,[8]Flujo!$B:$E,4,0)</f>
        <v>0</v>
      </c>
      <c r="F46" s="115"/>
      <c r="G46" s="295">
        <f t="shared" si="0"/>
        <v>0</v>
      </c>
      <c r="H46" s="326">
        <f t="shared" si="1"/>
        <v>1</v>
      </c>
      <c r="K46" s="289"/>
      <c r="L46" s="289"/>
    </row>
    <row r="47" spans="2:12" s="116" customFormat="1" ht="21" customHeight="1" thickBot="1">
      <c r="B47" s="117" t="s">
        <v>390</v>
      </c>
      <c r="C47" s="114"/>
      <c r="D47" s="333">
        <f>+VLOOKUP(B47,[8]Flujo!$B:$E,3,0)</f>
        <v>-861870</v>
      </c>
      <c r="E47" s="333">
        <f>+VLOOKUP(B47,[8]Flujo!$B:$E,4,0)</f>
        <v>0</v>
      </c>
      <c r="F47" s="115"/>
      <c r="G47" s="295">
        <f t="shared" si="0"/>
        <v>-861870</v>
      </c>
      <c r="H47" s="326">
        <f t="shared" si="1"/>
        <v>1</v>
      </c>
      <c r="K47" s="289"/>
      <c r="L47" s="289"/>
    </row>
    <row r="48" spans="2:12" s="116" customFormat="1" ht="21" customHeight="1" thickBot="1">
      <c r="B48" s="118" t="s">
        <v>227</v>
      </c>
      <c r="C48" s="119"/>
      <c r="D48" s="336">
        <f>SUM(D24:D47)</f>
        <v>-150000484</v>
      </c>
      <c r="E48" s="336">
        <f>SUM(E24:E47)</f>
        <v>-165900708</v>
      </c>
      <c r="F48" s="115"/>
      <c r="G48" s="318">
        <f t="shared" si="0"/>
        <v>15900224</v>
      </c>
      <c r="H48" s="329">
        <f t="shared" si="1"/>
        <v>-9.5841809186251334E-2</v>
      </c>
      <c r="I48" s="390">
        <f>+D48-E48</f>
        <v>15900224</v>
      </c>
      <c r="J48" s="116">
        <v>39575081</v>
      </c>
      <c r="K48" s="289"/>
      <c r="L48" s="289"/>
    </row>
    <row r="49" spans="2:12" s="116" customFormat="1" ht="21" customHeight="1">
      <c r="B49" s="117" t="s">
        <v>166</v>
      </c>
      <c r="C49" s="114"/>
      <c r="D49" s="333">
        <f>+VLOOKUP(B49,[8]Flujo!$B:$E,3,0)</f>
        <v>0</v>
      </c>
      <c r="E49" s="333">
        <f>+VLOOKUP(B49,[8]Flujo!$B:$E,4,0)</f>
        <v>0</v>
      </c>
      <c r="F49" s="115"/>
      <c r="G49" s="295">
        <f t="shared" si="0"/>
        <v>0</v>
      </c>
      <c r="H49" s="326">
        <f t="shared" si="1"/>
        <v>1</v>
      </c>
      <c r="K49" s="289"/>
      <c r="L49" s="289"/>
    </row>
    <row r="50" spans="2:12" s="116" customFormat="1" ht="21" customHeight="1">
      <c r="B50" s="117" t="s">
        <v>167</v>
      </c>
      <c r="C50" s="114"/>
      <c r="D50" s="333">
        <f>+VLOOKUP(B50,[8]Flujo!$B:$E,3,0)</f>
        <v>0</v>
      </c>
      <c r="E50" s="333">
        <f>+VLOOKUP(B50,[8]Flujo!$B:$E,4,0)</f>
        <v>0</v>
      </c>
      <c r="F50" s="115"/>
      <c r="G50" s="295">
        <f t="shared" si="0"/>
        <v>0</v>
      </c>
      <c r="H50" s="326">
        <f t="shared" si="1"/>
        <v>1</v>
      </c>
      <c r="K50" s="289"/>
      <c r="L50" s="289"/>
    </row>
    <row r="51" spans="2:12" s="116" customFormat="1" ht="21" customHeight="1">
      <c r="B51" s="117" t="s">
        <v>168</v>
      </c>
      <c r="C51" s="114"/>
      <c r="D51" s="333">
        <f>+VLOOKUP(B51,[8]Flujo!$B:$E,3,0)</f>
        <v>0</v>
      </c>
      <c r="E51" s="333">
        <f>+VLOOKUP(B51,[8]Flujo!$B:$E,4,0)</f>
        <v>0</v>
      </c>
      <c r="F51" s="115"/>
      <c r="G51" s="295">
        <f t="shared" si="0"/>
        <v>0</v>
      </c>
      <c r="H51" s="326">
        <f t="shared" si="1"/>
        <v>1</v>
      </c>
      <c r="K51" s="289"/>
      <c r="L51" s="289"/>
    </row>
    <row r="52" spans="2:12" s="116" customFormat="1" ht="21" customHeight="1">
      <c r="B52" s="117" t="s">
        <v>169</v>
      </c>
      <c r="C52" s="114"/>
      <c r="D52" s="333">
        <f>+VLOOKUP(B52,[8]Flujo!$B:$E,3,0)</f>
        <v>0</v>
      </c>
      <c r="E52" s="333">
        <f>+VLOOKUP(B52,[8]Flujo!$B:$E,4,0)</f>
        <v>0</v>
      </c>
      <c r="F52" s="115"/>
      <c r="G52" s="295">
        <f t="shared" si="0"/>
        <v>0</v>
      </c>
      <c r="H52" s="326">
        <f t="shared" si="1"/>
        <v>1</v>
      </c>
      <c r="K52" s="289"/>
      <c r="L52" s="289"/>
    </row>
    <row r="53" spans="2:12" s="116" customFormat="1" ht="21" customHeight="1">
      <c r="B53" s="117" t="s">
        <v>170</v>
      </c>
      <c r="C53" s="114"/>
      <c r="D53" s="333">
        <f>+VLOOKUP(B53,[8]Flujo!$B:$E,3,0)</f>
        <v>11415588</v>
      </c>
      <c r="E53" s="333">
        <f>+VLOOKUP(B53,[8]Flujo!$B:$E,4,0)</f>
        <v>58736661</v>
      </c>
      <c r="F53" s="115"/>
      <c r="G53" s="295">
        <f t="shared" si="0"/>
        <v>-47321073</v>
      </c>
      <c r="H53" s="326">
        <f t="shared" si="1"/>
        <v>-0.80564799214582528</v>
      </c>
      <c r="J53" s="116">
        <v>39602985</v>
      </c>
      <c r="K53" s="289" t="s">
        <v>329</v>
      </c>
      <c r="L53" s="289"/>
    </row>
    <row r="54" spans="2:12" s="116" customFormat="1" ht="21" customHeight="1">
      <c r="B54" s="117" t="s">
        <v>171</v>
      </c>
      <c r="C54" s="114"/>
      <c r="D54" s="333">
        <f>+VLOOKUP(B54,[8]Flujo!$B:$E,3,0)</f>
        <v>0</v>
      </c>
      <c r="E54" s="333">
        <f>+VLOOKUP(B54,[8]Flujo!$B:$E,4,0)</f>
        <v>30000000</v>
      </c>
      <c r="F54" s="115"/>
      <c r="G54" s="295">
        <f t="shared" si="0"/>
        <v>-30000000</v>
      </c>
      <c r="H54" s="326">
        <f t="shared" si="1"/>
        <v>-1</v>
      </c>
      <c r="J54" s="116">
        <f>+J48-J53</f>
        <v>-27904</v>
      </c>
      <c r="K54" s="289"/>
      <c r="L54" s="289"/>
    </row>
    <row r="55" spans="2:12" s="116" customFormat="1" ht="21" customHeight="1">
      <c r="B55" s="286" t="s">
        <v>312</v>
      </c>
      <c r="C55" s="114"/>
      <c r="D55" s="334">
        <f>+SUM(D49:D54)</f>
        <v>11415588</v>
      </c>
      <c r="E55" s="334">
        <f>+SUM(E49:E54)</f>
        <v>88736661</v>
      </c>
      <c r="F55" s="115"/>
      <c r="G55" s="296">
        <f t="shared" si="0"/>
        <v>-77321073</v>
      </c>
      <c r="H55" s="330">
        <f t="shared" si="1"/>
        <v>-0.87135432107367661</v>
      </c>
      <c r="J55" s="388">
        <v>3182087735</v>
      </c>
      <c r="K55" s="389"/>
      <c r="L55" s="289"/>
    </row>
    <row r="56" spans="2:12" s="116" customFormat="1" ht="21" customHeight="1">
      <c r="B56" s="117" t="s">
        <v>172</v>
      </c>
      <c r="C56" s="114"/>
      <c r="D56" s="333">
        <f>+VLOOKUP(B56,[8]Flujo!$B:$E,3,0)</f>
        <v>0</v>
      </c>
      <c r="E56" s="333">
        <f>+VLOOKUP(B56,[8]Flujo!$B:$E,4,0)</f>
        <v>0</v>
      </c>
      <c r="F56" s="115"/>
      <c r="G56" s="295">
        <f t="shared" si="0"/>
        <v>0</v>
      </c>
      <c r="H56" s="326">
        <f t="shared" si="1"/>
        <v>1</v>
      </c>
      <c r="J56" s="388"/>
      <c r="K56" s="389"/>
      <c r="L56" s="289"/>
    </row>
    <row r="57" spans="2:12" s="116" customFormat="1" ht="21" customHeight="1">
      <c r="B57" s="117" t="s">
        <v>228</v>
      </c>
      <c r="C57" s="114"/>
      <c r="D57" s="333">
        <f>+VLOOKUP(B57,[8]Flujo!$B:$E,3,0)</f>
        <v>-70379714</v>
      </c>
      <c r="E57" s="333">
        <f>+VLOOKUP(B57,[8]Flujo!$B:$E,4,0)</f>
        <v>-73747050</v>
      </c>
      <c r="F57" s="115"/>
      <c r="G57" s="295">
        <f t="shared" si="0"/>
        <v>3367336</v>
      </c>
      <c r="H57" s="327">
        <f t="shared" si="1"/>
        <v>-4.5660619645124786E-2</v>
      </c>
      <c r="J57" s="388">
        <v>5298882643</v>
      </c>
      <c r="K57" s="389" t="s">
        <v>330</v>
      </c>
      <c r="L57" s="289"/>
    </row>
    <row r="58" spans="2:12" s="116" customFormat="1" ht="21" customHeight="1">
      <c r="B58" s="117" t="s">
        <v>173</v>
      </c>
      <c r="C58" s="114"/>
      <c r="D58" s="333">
        <f>+VLOOKUP(B58,[8]Flujo!$B:$E,3,0)</f>
        <v>0</v>
      </c>
      <c r="E58" s="333">
        <f>+VLOOKUP(B58,[8]Flujo!$B:$E,4,0)</f>
        <v>0</v>
      </c>
      <c r="F58" s="115"/>
      <c r="G58" s="295">
        <f t="shared" si="0"/>
        <v>0</v>
      </c>
      <c r="H58" s="327">
        <f t="shared" si="1"/>
        <v>1</v>
      </c>
      <c r="K58" s="289"/>
      <c r="L58" s="289"/>
    </row>
    <row r="59" spans="2:12" s="116" customFormat="1" ht="21" customHeight="1">
      <c r="B59" s="117" t="s">
        <v>174</v>
      </c>
      <c r="C59" s="114"/>
      <c r="D59" s="333">
        <f>+VLOOKUP(B59,[8]Flujo!$B:$E,3,0)</f>
        <v>0</v>
      </c>
      <c r="E59" s="333">
        <f>+VLOOKUP(B59,[8]Flujo!$B:$E,4,0)</f>
        <v>0</v>
      </c>
      <c r="F59" s="115"/>
      <c r="G59" s="295">
        <f t="shared" si="0"/>
        <v>0</v>
      </c>
      <c r="H59" s="327">
        <f t="shared" si="1"/>
        <v>1</v>
      </c>
      <c r="K59" s="289"/>
      <c r="L59" s="289"/>
    </row>
    <row r="60" spans="2:12" s="116" customFormat="1" ht="21" customHeight="1">
      <c r="B60" s="117" t="s">
        <v>159</v>
      </c>
      <c r="C60" s="114"/>
      <c r="D60" s="333">
        <f>+VLOOKUP(B60,[8]Flujo!$B:$E,3,0)</f>
        <v>0</v>
      </c>
      <c r="E60" s="333">
        <f>+VLOOKUP(B60,[8]Flujo!$B:$E,4,0)</f>
        <v>0</v>
      </c>
      <c r="F60" s="115"/>
      <c r="G60" s="295">
        <f t="shared" si="0"/>
        <v>0</v>
      </c>
      <c r="H60" s="327">
        <f t="shared" si="1"/>
        <v>1</v>
      </c>
      <c r="K60" s="289"/>
      <c r="L60" s="289"/>
    </row>
    <row r="61" spans="2:12" s="116" customFormat="1" ht="21" customHeight="1">
      <c r="B61" s="292" t="s">
        <v>144</v>
      </c>
      <c r="C61" s="114"/>
      <c r="D61" s="333">
        <f>+VLOOKUP(B61,[8]Flujo!$B:$E,3,0)</f>
        <v>-90611501</v>
      </c>
      <c r="E61" s="333">
        <f>+VLOOKUP(B61,[8]Flujo!$B:$E,4,0)</f>
        <v>-76170116</v>
      </c>
      <c r="F61" s="115"/>
      <c r="G61" s="295">
        <f t="shared" si="0"/>
        <v>-14441385</v>
      </c>
      <c r="H61" s="327">
        <f t="shared" si="1"/>
        <v>0.18959384281363048</v>
      </c>
      <c r="J61" s="116">
        <v>9827327500</v>
      </c>
      <c r="K61" s="389" t="s">
        <v>331</v>
      </c>
      <c r="L61" s="289"/>
    </row>
    <row r="62" spans="2:12" s="116" customFormat="1" ht="21" customHeight="1">
      <c r="B62" s="117" t="s">
        <v>146</v>
      </c>
      <c r="C62" s="114"/>
      <c r="D62" s="333">
        <f>+VLOOKUP(B62,[8]Flujo!$B:$E,3,0)</f>
        <v>0</v>
      </c>
      <c r="E62" s="333">
        <f>+VLOOKUP(B62,[8]Flujo!$B:$E,4,0)</f>
        <v>0</v>
      </c>
      <c r="F62" s="115"/>
      <c r="G62" s="295">
        <f t="shared" si="0"/>
        <v>0</v>
      </c>
      <c r="H62" s="326">
        <f t="shared" si="1"/>
        <v>1</v>
      </c>
      <c r="K62" s="289"/>
      <c r="L62" s="289"/>
    </row>
    <row r="63" spans="2:12" s="116" customFormat="1" ht="21" customHeight="1">
      <c r="B63" s="117" t="s">
        <v>164</v>
      </c>
      <c r="C63" s="114"/>
      <c r="D63" s="333">
        <f>+VLOOKUP(B63,[8]Flujo!$B:$E,3,0)</f>
        <v>0</v>
      </c>
      <c r="E63" s="333">
        <f>+VLOOKUP(B63,[8]Flujo!$B:$E,4,0)</f>
        <v>0</v>
      </c>
      <c r="F63" s="115"/>
      <c r="G63" s="295">
        <f t="shared" ref="G63:G71" si="2">ROUND(+(D63-E63),0)</f>
        <v>0</v>
      </c>
      <c r="H63" s="326">
        <f t="shared" si="1"/>
        <v>1</v>
      </c>
      <c r="K63" s="289"/>
      <c r="L63" s="289"/>
    </row>
    <row r="64" spans="2:12" s="116" customFormat="1" ht="21" customHeight="1" thickBot="1">
      <c r="B64" s="117" t="s">
        <v>165</v>
      </c>
      <c r="C64" s="114"/>
      <c r="D64" s="333">
        <f>+VLOOKUP(B64,[8]Flujo!$B:$E,3,0)</f>
        <v>0</v>
      </c>
      <c r="E64" s="333">
        <f>+VLOOKUP(B64,[8]Flujo!$B:$E,4,0)</f>
        <v>0</v>
      </c>
      <c r="F64" s="115"/>
      <c r="G64" s="295">
        <f t="shared" si="2"/>
        <v>0</v>
      </c>
      <c r="H64" s="326">
        <f t="shared" si="1"/>
        <v>1</v>
      </c>
      <c r="J64" s="388">
        <v>3887567500</v>
      </c>
      <c r="K64" s="389">
        <v>3634842500</v>
      </c>
    </row>
    <row r="65" spans="2:12" s="116" customFormat="1" ht="21" customHeight="1" thickBot="1">
      <c r="B65" s="118" t="s">
        <v>313</v>
      </c>
      <c r="C65" s="120"/>
      <c r="D65" s="336">
        <f>+SUM(D55:D64)</f>
        <v>-149575627</v>
      </c>
      <c r="E65" s="336">
        <f>+SUM(E55:E64)</f>
        <v>-61180505</v>
      </c>
      <c r="F65" s="115"/>
      <c r="G65" s="318">
        <f t="shared" si="2"/>
        <v>-88395122</v>
      </c>
      <c r="H65" s="329">
        <f t="shared" ref="H65:H71" si="3">+IFERROR(G65/E65,1)</f>
        <v>1.444824981421778</v>
      </c>
      <c r="J65" s="388">
        <v>5939600000</v>
      </c>
      <c r="K65" s="389"/>
      <c r="L65" s="289"/>
    </row>
    <row r="66" spans="2:12" s="116" customFormat="1" ht="21" customHeight="1">
      <c r="B66" s="118" t="s">
        <v>314</v>
      </c>
      <c r="C66" s="120"/>
      <c r="D66" s="337">
        <f>+D65+D48+D23</f>
        <v>-70178660</v>
      </c>
      <c r="E66" s="337">
        <f>+E65+E48+E23</f>
        <v>15822027</v>
      </c>
      <c r="F66" s="115"/>
      <c r="G66" s="295">
        <f t="shared" si="2"/>
        <v>-86000687</v>
      </c>
      <c r="H66" s="326">
        <f t="shared" si="3"/>
        <v>-5.4355037442421255</v>
      </c>
      <c r="K66" s="289"/>
      <c r="L66" s="289"/>
    </row>
    <row r="67" spans="2:12" s="116" customFormat="1" ht="21" customHeight="1">
      <c r="B67" s="121" t="s">
        <v>391</v>
      </c>
      <c r="C67" s="119"/>
      <c r="D67" s="338"/>
      <c r="E67" s="339"/>
      <c r="F67" s="115"/>
      <c r="G67" s="295">
        <f t="shared" si="2"/>
        <v>0</v>
      </c>
      <c r="H67" s="326">
        <f t="shared" si="3"/>
        <v>1</v>
      </c>
      <c r="K67" s="289"/>
      <c r="L67" s="289"/>
    </row>
    <row r="68" spans="2:12" s="116" customFormat="1" ht="21" customHeight="1" thickBot="1">
      <c r="B68" s="122" t="s">
        <v>175</v>
      </c>
      <c r="C68" s="119"/>
      <c r="D68" s="338">
        <f>+VLOOKUP(B68,[8]Flujo!$B:$E,3,0)</f>
        <v>0</v>
      </c>
      <c r="E68" s="339">
        <f>+VLOOKUP(B68,[8]Flujo!$B:$E,4,0)</f>
        <v>0</v>
      </c>
      <c r="F68" s="115"/>
      <c r="G68" s="295">
        <f t="shared" si="2"/>
        <v>0</v>
      </c>
      <c r="H68" s="326">
        <f t="shared" si="3"/>
        <v>1</v>
      </c>
      <c r="K68" s="289"/>
      <c r="L68" s="289"/>
    </row>
    <row r="69" spans="2:12" s="116" customFormat="1" ht="21" customHeight="1" thickBot="1">
      <c r="B69" s="118" t="s">
        <v>229</v>
      </c>
      <c r="C69" s="120"/>
      <c r="D69" s="336">
        <f>+D66+D68</f>
        <v>-70178660</v>
      </c>
      <c r="E69" s="336">
        <f>+E66+E68</f>
        <v>15822027</v>
      </c>
      <c r="F69" s="115"/>
      <c r="G69" s="318">
        <f t="shared" si="2"/>
        <v>-86000687</v>
      </c>
      <c r="H69" s="329">
        <f t="shared" si="3"/>
        <v>-5.4355037442421255</v>
      </c>
      <c r="K69" s="289">
        <f>+J64+J65-K64</f>
        <v>6192325000</v>
      </c>
      <c r="L69" s="289"/>
    </row>
    <row r="70" spans="2:12" s="116" customFormat="1" ht="21" customHeight="1" thickBot="1">
      <c r="B70" s="117" t="s">
        <v>230</v>
      </c>
      <c r="C70" s="114"/>
      <c r="D70" s="338">
        <f>+E71</f>
        <v>179335341</v>
      </c>
      <c r="E70" s="333">
        <f>+VLOOKUP(B70,[8]Flujo!$B:$E,4,0)</f>
        <v>163513314</v>
      </c>
      <c r="F70" s="123"/>
      <c r="G70" s="295">
        <f t="shared" si="2"/>
        <v>15822027</v>
      </c>
      <c r="H70" s="326">
        <f t="shared" si="3"/>
        <v>9.6762927818831931E-2</v>
      </c>
      <c r="J70" s="116">
        <f>+J65+J64-J61</f>
        <v>-160000</v>
      </c>
      <c r="K70" s="289"/>
      <c r="L70" s="289"/>
    </row>
    <row r="71" spans="2:12" s="116" customFormat="1" ht="21" customHeight="1" thickBot="1">
      <c r="B71" s="124" t="s">
        <v>231</v>
      </c>
      <c r="C71" s="125">
        <v>7</v>
      </c>
      <c r="D71" s="340">
        <f>SUM(D69:D70)</f>
        <v>109156681</v>
      </c>
      <c r="E71" s="340">
        <f>SUM(E69:E70)</f>
        <v>179335341</v>
      </c>
      <c r="G71" s="318">
        <f t="shared" si="2"/>
        <v>-70178660</v>
      </c>
      <c r="H71" s="329">
        <f t="shared" si="3"/>
        <v>-0.39132643687894181</v>
      </c>
      <c r="K71" s="289"/>
      <c r="L71" s="289"/>
    </row>
    <row r="72" spans="2:12">
      <c r="D72" s="312"/>
      <c r="E72" s="312"/>
    </row>
    <row r="73" spans="2:12">
      <c r="D73" s="341">
        <f>+D71-Balance!D6</f>
        <v>0</v>
      </c>
      <c r="E73" s="341">
        <f>+E71-Balance!E6</f>
        <v>0</v>
      </c>
    </row>
  </sheetData>
  <autoFilter ref="B2:E71" xr:uid="{00000000-0009-0000-0000-00000C000000}"/>
  <mergeCells count="3">
    <mergeCell ref="B2:B3"/>
    <mergeCell ref="C2:C3"/>
    <mergeCell ref="G2:H2"/>
  </mergeCells>
  <conditionalFormatting sqref="B1:B1048576">
    <cfRule type="duplicateValues" dxfId="0" priority="1"/>
  </conditionalFormatting>
  <pageMargins left="0.23622047244094491" right="0.27559055118110237" top="0.98425196850393704" bottom="0.98425196850393704" header="0" footer="0"/>
  <pageSetup scale="7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>
    <tabColor rgb="FF92D050"/>
  </sheetPr>
  <dimension ref="B2:I26"/>
  <sheetViews>
    <sheetView showGridLines="0" workbookViewId="0">
      <selection activeCell="B12" sqref="B12"/>
    </sheetView>
  </sheetViews>
  <sheetFormatPr baseColWidth="10" defaultColWidth="11.44140625" defaultRowHeight="12"/>
  <cols>
    <col min="1" max="1" width="11.44140625" style="140"/>
    <col min="2" max="2" width="45.5546875" style="140" bestFit="1" customWidth="1"/>
    <col min="3" max="3" width="14.33203125" style="377" bestFit="1" customWidth="1"/>
    <col min="4" max="4" width="14.33203125" style="140" bestFit="1" customWidth="1"/>
    <col min="5" max="5" width="13.44140625" style="140" bestFit="1" customWidth="1"/>
    <col min="6" max="6" width="13.88671875" style="140" bestFit="1" customWidth="1"/>
    <col min="7" max="16384" width="11.44140625" style="140"/>
  </cols>
  <sheetData>
    <row r="2" spans="2:9">
      <c r="B2" s="139" t="s">
        <v>103</v>
      </c>
      <c r="C2" s="374" t="s">
        <v>8</v>
      </c>
      <c r="F2" s="375"/>
      <c r="G2" s="376"/>
      <c r="H2" s="376"/>
      <c r="I2" s="375"/>
    </row>
    <row r="3" spans="2:9">
      <c r="B3" s="140" t="s">
        <v>379</v>
      </c>
      <c r="C3" s="377">
        <f>+Cálculos!E69</f>
        <v>85248734</v>
      </c>
      <c r="F3" s="375"/>
      <c r="G3" s="375"/>
      <c r="H3" s="375"/>
      <c r="I3" s="375"/>
    </row>
    <row r="4" spans="2:9">
      <c r="B4" s="140" t="s">
        <v>343</v>
      </c>
      <c r="C4" s="377">
        <f>-Cálculos!D69</f>
        <v>-85248734</v>
      </c>
    </row>
    <row r="5" spans="2:9">
      <c r="B5" s="165" t="s">
        <v>378</v>
      </c>
      <c r="C5" s="378">
        <f>+Cálculos!C69</f>
        <v>133390421</v>
      </c>
      <c r="G5" s="352"/>
      <c r="H5" s="352"/>
      <c r="I5" s="353"/>
    </row>
    <row r="6" spans="2:9">
      <c r="B6" s="139" t="s">
        <v>398</v>
      </c>
      <c r="C6" s="379">
        <f>SUM(C3:C5)</f>
        <v>133390421</v>
      </c>
      <c r="G6" s="352"/>
      <c r="H6" s="352"/>
    </row>
    <row r="8" spans="2:9">
      <c r="B8" s="380" t="s">
        <v>104</v>
      </c>
    </row>
    <row r="9" spans="2:9">
      <c r="B9" s="139" t="s">
        <v>21</v>
      </c>
      <c r="C9" s="374" t="s">
        <v>8</v>
      </c>
    </row>
    <row r="10" spans="2:9">
      <c r="B10" s="140" t="str">
        <f>+B3</f>
        <v>Ejercicio 2022</v>
      </c>
      <c r="C10" s="377">
        <f>+Cálculos!F20-Cálculos!F21</f>
        <v>119302865</v>
      </c>
    </row>
    <row r="11" spans="2:9">
      <c r="B11" s="140" t="str">
        <f>+B4</f>
        <v>Acum dic 2022</v>
      </c>
      <c r="C11" s="377">
        <f>-(+Cálculos!E20-Cálculos!E21)</f>
        <v>-119302865</v>
      </c>
    </row>
    <row r="12" spans="2:9">
      <c r="B12" s="165" t="str">
        <f>+B5</f>
        <v>Acum dic 2023</v>
      </c>
      <c r="C12" s="378">
        <f>+Cálculos!D20-Cálculos!D21</f>
        <v>216150985</v>
      </c>
    </row>
    <row r="13" spans="2:9">
      <c r="B13" s="139" t="str">
        <f>+B6</f>
        <v>Periodo dic 2023 - dic 2022</v>
      </c>
      <c r="C13" s="379">
        <f>SUM(C10:C12)</f>
        <v>216150985</v>
      </c>
    </row>
    <row r="16" spans="2:9">
      <c r="B16" s="139" t="s">
        <v>23</v>
      </c>
      <c r="C16" s="374" t="s">
        <v>8</v>
      </c>
    </row>
    <row r="17" spans="2:5">
      <c r="B17" s="140" t="str">
        <f>+B3</f>
        <v>Ejercicio 2022</v>
      </c>
      <c r="C17" s="377">
        <f>-Cálculos!F21</f>
        <v>36630374</v>
      </c>
    </row>
    <row r="18" spans="2:5">
      <c r="B18" s="140" t="str">
        <f>+B4</f>
        <v>Acum dic 2022</v>
      </c>
      <c r="C18" s="377">
        <f>+Cálculos!E21</f>
        <v>-36630374</v>
      </c>
    </row>
    <row r="19" spans="2:5">
      <c r="B19" s="165" t="str">
        <f>+B5</f>
        <v>Acum dic 2023</v>
      </c>
      <c r="C19" s="378">
        <f>-Cálculos!D21</f>
        <v>48849432</v>
      </c>
    </row>
    <row r="20" spans="2:5">
      <c r="B20" s="139" t="str">
        <f>+B13</f>
        <v>Periodo dic 2023 - dic 2022</v>
      </c>
      <c r="C20" s="379">
        <f>SUM(C17:C19)</f>
        <v>48849432</v>
      </c>
    </row>
    <row r="24" spans="2:5">
      <c r="C24" s="381"/>
      <c r="D24" s="382"/>
      <c r="E24" s="383"/>
    </row>
    <row r="25" spans="2:5">
      <c r="C25" s="384"/>
      <c r="D25" s="384"/>
      <c r="E25" s="384"/>
    </row>
    <row r="26" spans="2:5">
      <c r="C26" s="384"/>
      <c r="D26" s="384"/>
      <c r="E26" s="384"/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rgb="FF92D050"/>
  </sheetPr>
  <dimension ref="B2"/>
  <sheetViews>
    <sheetView showGridLines="0" tabSelected="1" workbookViewId="0">
      <selection activeCell="L10" sqref="L10"/>
    </sheetView>
  </sheetViews>
  <sheetFormatPr baseColWidth="10" defaultRowHeight="13.2"/>
  <sheetData>
    <row r="2" spans="2:2">
      <c r="B2" s="281" t="s">
        <v>286</v>
      </c>
    </row>
  </sheetData>
  <hyperlinks>
    <hyperlink ref="B2" r:id="rId1" location="/cierre_bursatil" xr:uid="{00000000-0004-0000-0E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92D050"/>
    <pageSetUpPr fitToPage="1"/>
  </sheetPr>
  <dimension ref="A1:M52"/>
  <sheetViews>
    <sheetView showGridLines="0" topLeftCell="A25" workbookViewId="0">
      <selection activeCell="H1" sqref="H1"/>
    </sheetView>
  </sheetViews>
  <sheetFormatPr baseColWidth="10" defaultColWidth="11.44140625" defaultRowHeight="15" customHeight="1"/>
  <cols>
    <col min="1" max="1" width="4" style="7" customWidth="1"/>
    <col min="2" max="2" width="44.88671875" style="7" bestFit="1" customWidth="1"/>
    <col min="3" max="4" width="12.6640625" style="7" customWidth="1"/>
    <col min="5" max="5" width="15.5546875" style="7" customWidth="1"/>
    <col min="6" max="6" width="13.33203125" style="7" bestFit="1" customWidth="1"/>
    <col min="7" max="8" width="11.44140625" style="7"/>
    <col min="9" max="9" width="11.44140625" style="7" customWidth="1"/>
    <col min="10" max="10" width="14.109375" style="7" customWidth="1"/>
    <col min="11" max="11" width="11.44140625" style="7" customWidth="1"/>
    <col min="12" max="16384" width="11.44140625" style="7"/>
  </cols>
  <sheetData>
    <row r="1" spans="1:10" ht="15" customHeight="1">
      <c r="A1" s="13" t="s">
        <v>208</v>
      </c>
    </row>
    <row r="3" spans="1:10" ht="15" customHeight="1" thickBot="1">
      <c r="B3" s="2" t="s">
        <v>241</v>
      </c>
      <c r="C3" s="345" t="s">
        <v>380</v>
      </c>
      <c r="D3" s="345" t="s">
        <v>381</v>
      </c>
      <c r="E3" s="282" t="s">
        <v>280</v>
      </c>
      <c r="F3" s="344" t="s">
        <v>396</v>
      </c>
    </row>
    <row r="4" spans="1:10" ht="15" customHeight="1">
      <c r="B4" s="3" t="s">
        <v>265</v>
      </c>
      <c r="C4" s="346">
        <f>+Resultado!D5</f>
        <v>640855854</v>
      </c>
      <c r="D4" s="346">
        <f>+Resultado!E5</f>
        <v>580468054</v>
      </c>
      <c r="E4" s="9">
        <f>IFERROR((ROUND(+F4/D4,3)),0)</f>
        <v>0.104</v>
      </c>
      <c r="F4" s="8">
        <f t="shared" ref="F4:F14" si="0">+C4-D4</f>
        <v>60387800</v>
      </c>
    </row>
    <row r="5" spans="1:10" s="14" customFormat="1" ht="15" customHeight="1">
      <c r="B5" s="4" t="s">
        <v>266</v>
      </c>
      <c r="C5" s="346">
        <f>+Resultado!D6+Resultado!D7+Resultado!D10+Resultado!D9</f>
        <v>-322567911</v>
      </c>
      <c r="D5" s="346">
        <f>+Resultado!E6+Resultado!E7+Resultado!E10+Resultado!E9</f>
        <v>-284703939</v>
      </c>
      <c r="E5" s="9">
        <f t="shared" ref="E5:E14" si="1">IFERROR((ROUND(+F5/D5,3)),0)</f>
        <v>0.13300000000000001</v>
      </c>
      <c r="F5" s="8">
        <f t="shared" si="0"/>
        <v>-37863972</v>
      </c>
    </row>
    <row r="6" spans="1:10" s="14" customFormat="1" ht="15" customHeight="1">
      <c r="B6" s="5" t="s">
        <v>192</v>
      </c>
      <c r="C6" s="347">
        <f>+C4+C5</f>
        <v>318287943</v>
      </c>
      <c r="D6" s="347">
        <f>+D4+D5</f>
        <v>295764115</v>
      </c>
      <c r="E6" s="11">
        <f t="shared" si="1"/>
        <v>7.5999999999999998E-2</v>
      </c>
      <c r="F6" s="10">
        <f t="shared" si="0"/>
        <v>22523828</v>
      </c>
      <c r="J6" s="15"/>
    </row>
    <row r="7" spans="1:10" s="14" customFormat="1" ht="15" customHeight="1">
      <c r="B7" s="4" t="s">
        <v>62</v>
      </c>
      <c r="C7" s="346">
        <f>+Resultado!D8</f>
        <v>-77689350</v>
      </c>
      <c r="D7" s="346">
        <f>+Resultado!E8</f>
        <v>-74811690</v>
      </c>
      <c r="E7" s="9">
        <f t="shared" si="1"/>
        <v>3.7999999999999999E-2</v>
      </c>
      <c r="F7" s="8">
        <f t="shared" si="0"/>
        <v>-2877660</v>
      </c>
      <c r="J7" s="15"/>
    </row>
    <row r="8" spans="1:10" s="14" customFormat="1" ht="15" customHeight="1">
      <c r="B8" s="5" t="s">
        <v>267</v>
      </c>
      <c r="C8" s="347">
        <f>+C6+C7</f>
        <v>240598593</v>
      </c>
      <c r="D8" s="347">
        <f>+D6+D7</f>
        <v>220952425</v>
      </c>
      <c r="E8" s="11">
        <f t="shared" si="1"/>
        <v>8.8999999999999996E-2</v>
      </c>
      <c r="F8" s="10">
        <f t="shared" si="0"/>
        <v>19646168</v>
      </c>
      <c r="J8" s="15"/>
    </row>
    <row r="9" spans="1:10" s="14" customFormat="1" ht="15" customHeight="1">
      <c r="B9" s="4" t="s">
        <v>268</v>
      </c>
      <c r="C9" s="346">
        <f>+Resultado!D11</f>
        <v>3336545</v>
      </c>
      <c r="D9" s="346">
        <f>+Resultado!E11</f>
        <v>-1521833</v>
      </c>
      <c r="E9" s="9">
        <f t="shared" si="1"/>
        <v>-3.1920000000000002</v>
      </c>
      <c r="F9" s="8">
        <f t="shared" si="0"/>
        <v>4858378</v>
      </c>
      <c r="J9" s="15"/>
    </row>
    <row r="10" spans="1:10" s="14" customFormat="1" ht="15" customHeight="1">
      <c r="B10" s="4" t="s">
        <v>324</v>
      </c>
      <c r="C10" s="346">
        <f>+Resultado!D9*0</f>
        <v>0</v>
      </c>
      <c r="D10" s="346">
        <f>+Resultado!E9*0</f>
        <v>0</v>
      </c>
      <c r="E10" s="361">
        <f t="shared" si="1"/>
        <v>0</v>
      </c>
      <c r="F10" s="8">
        <f t="shared" si="0"/>
        <v>0</v>
      </c>
      <c r="J10" s="15"/>
    </row>
    <row r="11" spans="1:10" s="14" customFormat="1" ht="15" customHeight="1">
      <c r="B11" s="4" t="s">
        <v>269</v>
      </c>
      <c r="C11" s="346">
        <f>+Resultado!D13+Resultado!D14+Resultado!D15+Resultado!D16</f>
        <v>-76633585</v>
      </c>
      <c r="D11" s="346">
        <f>+Resultado!E13+Resultado!E14+Resultado!E15+Resultado!E16</f>
        <v>-136758101</v>
      </c>
      <c r="E11" s="9">
        <f t="shared" si="1"/>
        <v>-0.44</v>
      </c>
      <c r="F11" s="8">
        <f t="shared" si="0"/>
        <v>60124516</v>
      </c>
    </row>
    <row r="12" spans="1:10" s="14" customFormat="1" ht="15" customHeight="1">
      <c r="B12" s="4" t="s">
        <v>232</v>
      </c>
      <c r="C12" s="346">
        <f>+Resultado!D19</f>
        <v>-33909237</v>
      </c>
      <c r="D12" s="346">
        <f>+Resultado!E19</f>
        <v>2578383</v>
      </c>
      <c r="E12" s="9">
        <f t="shared" si="1"/>
        <v>-14.151</v>
      </c>
      <c r="F12" s="8">
        <f t="shared" si="0"/>
        <v>-36487620</v>
      </c>
      <c r="J12" s="15"/>
    </row>
    <row r="13" spans="1:10" s="14" customFormat="1" ht="15" customHeight="1">
      <c r="B13" s="4" t="s">
        <v>410</v>
      </c>
      <c r="C13" s="346">
        <f>-Resultado!D26</f>
        <v>-1895</v>
      </c>
      <c r="D13" s="346">
        <f>-Resultado!E26</f>
        <v>-2140</v>
      </c>
      <c r="E13" s="9">
        <f t="shared" si="1"/>
        <v>-0.114</v>
      </c>
      <c r="F13" s="8">
        <f t="shared" ref="F13" si="2">+C13-D13</f>
        <v>245</v>
      </c>
      <c r="J13" s="15"/>
    </row>
    <row r="14" spans="1:10" s="14" customFormat="1" ht="15" customHeight="1">
      <c r="B14" s="5" t="s">
        <v>270</v>
      </c>
      <c r="C14" s="347">
        <f>+Resultado!D25</f>
        <v>133390421</v>
      </c>
      <c r="D14" s="347">
        <f>+Resultado!E25</f>
        <v>85248734</v>
      </c>
      <c r="E14" s="11">
        <f t="shared" si="1"/>
        <v>0.56499999999999995</v>
      </c>
      <c r="F14" s="10">
        <f t="shared" si="0"/>
        <v>48141687</v>
      </c>
    </row>
    <row r="15" spans="1:10" s="14" customFormat="1" ht="15" customHeight="1">
      <c r="C15" s="20">
        <f>+C14-Resultado!D25</f>
        <v>0</v>
      </c>
      <c r="D15" s="20">
        <f>+D14-Resultado!E25</f>
        <v>0</v>
      </c>
    </row>
    <row r="16" spans="1:10" ht="15" customHeight="1">
      <c r="A16" s="13" t="s">
        <v>209</v>
      </c>
      <c r="C16" s="364">
        <f>+C8+C9+C10+C11+C12+C13-C14</f>
        <v>0</v>
      </c>
      <c r="D16" s="364">
        <f>+D8+D9+D10+D11+D12+D13-D14</f>
        <v>0</v>
      </c>
    </row>
    <row r="17" spans="2:13" s="425" customFormat="1" ht="15" customHeight="1">
      <c r="B17" s="421"/>
      <c r="C17" s="422"/>
      <c r="D17" s="422"/>
      <c r="E17" s="423"/>
      <c r="F17" s="424"/>
      <c r="G17" s="422"/>
    </row>
    <row r="18" spans="2:13" s="425" customFormat="1" ht="15" customHeight="1" thickBot="1">
      <c r="B18" s="418"/>
      <c r="C18" s="456" t="str">
        <f>+C3</f>
        <v>Dic. 23</v>
      </c>
      <c r="D18" s="456"/>
      <c r="E18" s="418"/>
      <c r="F18" s="457" t="str">
        <f>+D3</f>
        <v xml:space="preserve">     Dic. 22</v>
      </c>
      <c r="G18" s="457"/>
      <c r="H18" s="418"/>
      <c r="I18" s="458"/>
      <c r="J18" s="458"/>
    </row>
    <row r="19" spans="2:13" s="425" customFormat="1" ht="15" customHeight="1">
      <c r="B19" s="418"/>
      <c r="C19" s="428" t="s">
        <v>197</v>
      </c>
      <c r="D19" s="459" t="s">
        <v>198</v>
      </c>
      <c r="E19" s="418"/>
      <c r="F19" s="427" t="s">
        <v>197</v>
      </c>
      <c r="G19" s="461" t="s">
        <v>198</v>
      </c>
      <c r="H19" s="418"/>
      <c r="I19" s="458"/>
      <c r="J19" s="458"/>
    </row>
    <row r="20" spans="2:13" s="425" customFormat="1" ht="15" customHeight="1" thickBot="1">
      <c r="B20" s="418"/>
      <c r="C20" s="426" t="s">
        <v>298</v>
      </c>
      <c r="D20" s="460"/>
      <c r="E20" s="418"/>
      <c r="F20" s="416" t="s">
        <v>8</v>
      </c>
      <c r="G20" s="462"/>
      <c r="H20" s="418"/>
      <c r="I20" s="458"/>
      <c r="J20" s="458"/>
    </row>
    <row r="21" spans="2:13" s="425" customFormat="1" ht="15" customHeight="1">
      <c r="B21" s="429" t="s">
        <v>261</v>
      </c>
      <c r="C21" s="19">
        <v>255428385</v>
      </c>
      <c r="D21" s="453">
        <f>+ROUND(C21/$C$25,3)</f>
        <v>0.39900000000000002</v>
      </c>
      <c r="E21" s="418"/>
      <c r="F21" s="419">
        <v>231961337</v>
      </c>
      <c r="G21" s="453">
        <f>+ROUND(F21/$F$25,3)</f>
        <v>0.4</v>
      </c>
      <c r="H21" s="418"/>
      <c r="I21" s="430">
        <f>+C21-F21</f>
        <v>23467048</v>
      </c>
      <c r="J21" s="431">
        <f>+ROUND(I21/F21,3)</f>
        <v>0.10100000000000001</v>
      </c>
      <c r="M21" s="440"/>
    </row>
    <row r="22" spans="2:13" s="425" customFormat="1" ht="15" customHeight="1">
      <c r="B22" s="429" t="s">
        <v>262</v>
      </c>
      <c r="C22" s="19">
        <v>287315456</v>
      </c>
      <c r="D22" s="453">
        <f t="shared" ref="D22:D24" si="3">+ROUND(C22/$C$25,3)</f>
        <v>0.44800000000000001</v>
      </c>
      <c r="E22" s="418"/>
      <c r="F22" s="419">
        <v>265582171</v>
      </c>
      <c r="G22" s="453">
        <f t="shared" ref="G22:G24" si="4">+ROUND(F22/$F$25,3)</f>
        <v>0.45800000000000002</v>
      </c>
      <c r="H22" s="418"/>
      <c r="I22" s="430">
        <f t="shared" ref="I22:I24" si="5">+C22-F22</f>
        <v>21733285</v>
      </c>
      <c r="J22" s="431">
        <f t="shared" ref="J22:J25" si="6">+ROUND(I22/F22,3)</f>
        <v>8.2000000000000003E-2</v>
      </c>
      <c r="M22" s="440"/>
    </row>
    <row r="23" spans="2:13" s="425" customFormat="1" ht="15" customHeight="1">
      <c r="B23" s="429" t="s">
        <v>263</v>
      </c>
      <c r="C23" s="19">
        <v>25825766</v>
      </c>
      <c r="D23" s="443">
        <f t="shared" si="3"/>
        <v>0.04</v>
      </c>
      <c r="E23" s="418"/>
      <c r="F23" s="419">
        <v>61854474</v>
      </c>
      <c r="G23" s="453">
        <f t="shared" si="4"/>
        <v>0.107</v>
      </c>
      <c r="H23" s="418"/>
      <c r="I23" s="430">
        <f t="shared" si="5"/>
        <v>-36028708</v>
      </c>
      <c r="J23" s="431">
        <f t="shared" si="6"/>
        <v>-0.58199999999999996</v>
      </c>
      <c r="M23" s="440"/>
    </row>
    <row r="24" spans="2:13" s="425" customFormat="1" ht="15" customHeight="1" thickBot="1">
      <c r="B24" s="421" t="s">
        <v>264</v>
      </c>
      <c r="C24" s="420">
        <v>72286247</v>
      </c>
      <c r="D24" s="454">
        <f t="shared" si="3"/>
        <v>0.113</v>
      </c>
      <c r="E24" s="418"/>
      <c r="F24" s="432">
        <f>16067463+5002609</f>
        <v>21070072</v>
      </c>
      <c r="G24" s="454">
        <f t="shared" si="4"/>
        <v>3.5999999999999997E-2</v>
      </c>
      <c r="H24" s="418"/>
      <c r="I24" s="430">
        <f t="shared" si="5"/>
        <v>51216175</v>
      </c>
      <c r="J24" s="431">
        <f t="shared" si="6"/>
        <v>2.431</v>
      </c>
      <c r="M24" s="440"/>
    </row>
    <row r="25" spans="2:13" s="425" customFormat="1" ht="15" customHeight="1" thickTop="1">
      <c r="B25" s="433" t="s">
        <v>199</v>
      </c>
      <c r="C25" s="434">
        <f>SUM(C21:C24)</f>
        <v>640855854</v>
      </c>
      <c r="D25" s="435">
        <f>SUM(D21:D24)</f>
        <v>1</v>
      </c>
      <c r="E25" s="418"/>
      <c r="F25" s="434">
        <f>SUM(F21:F24)</f>
        <v>580468054</v>
      </c>
      <c r="G25" s="435">
        <f>SUM(G21:G24)</f>
        <v>1.0010000000000001</v>
      </c>
      <c r="H25" s="418"/>
      <c r="I25" s="436">
        <f>SUM(I21:I24)</f>
        <v>60387800</v>
      </c>
      <c r="J25" s="437">
        <f t="shared" si="6"/>
        <v>0.104</v>
      </c>
      <c r="L25" s="455"/>
      <c r="M25" s="440"/>
    </row>
    <row r="26" spans="2:13" s="425" customFormat="1" ht="15" customHeight="1">
      <c r="C26" s="438">
        <f>+C25-C4</f>
        <v>0</v>
      </c>
      <c r="D26" s="438"/>
      <c r="E26" s="439"/>
      <c r="F26" s="438">
        <f>+F25-D4</f>
        <v>0</v>
      </c>
      <c r="I26" s="440"/>
    </row>
    <row r="27" spans="2:13" s="425" customFormat="1" ht="15" customHeight="1" thickBot="1">
      <c r="B27" s="441" t="s">
        <v>274</v>
      </c>
      <c r="C27" s="416" t="str">
        <f>+C3</f>
        <v>Dic. 23</v>
      </c>
      <c r="D27" s="416" t="str">
        <f>+D3</f>
        <v xml:space="preserve">     Dic. 22</v>
      </c>
      <c r="E27" s="416" t="s">
        <v>182</v>
      </c>
      <c r="F27" s="418"/>
      <c r="G27" s="416" t="s">
        <v>200</v>
      </c>
      <c r="H27" s="425" t="s">
        <v>344</v>
      </c>
    </row>
    <row r="28" spans="2:13" s="425" customFormat="1" ht="15" customHeight="1">
      <c r="B28" s="442" t="s">
        <v>271</v>
      </c>
      <c r="C28" s="19">
        <v>525972</v>
      </c>
      <c r="D28" s="419">
        <v>524299</v>
      </c>
      <c r="E28" s="443">
        <f t="shared" ref="E28:E31" si="7">ROUND(G28/D28,3)</f>
        <v>3.0000000000000001E-3</v>
      </c>
      <c r="F28" s="418"/>
      <c r="G28" s="444">
        <f>+C28-D28</f>
        <v>1673</v>
      </c>
      <c r="I28" s="445"/>
    </row>
    <row r="29" spans="2:13" s="425" customFormat="1" ht="15" customHeight="1">
      <c r="B29" s="442" t="s">
        <v>272</v>
      </c>
      <c r="C29" s="19">
        <v>504516</v>
      </c>
      <c r="D29" s="419">
        <v>503656</v>
      </c>
      <c r="E29" s="443">
        <f t="shared" si="7"/>
        <v>2E-3</v>
      </c>
      <c r="F29" s="418"/>
      <c r="G29" s="444">
        <f t="shared" ref="G29:G31" si="8">+C29-D29</f>
        <v>860</v>
      </c>
      <c r="I29" s="445"/>
    </row>
    <row r="30" spans="2:13" s="425" customFormat="1" ht="15" customHeight="1">
      <c r="B30" s="442" t="s">
        <v>273</v>
      </c>
      <c r="C30" s="19">
        <v>436814</v>
      </c>
      <c r="D30" s="419">
        <v>435874</v>
      </c>
      <c r="E30" s="443">
        <f t="shared" si="7"/>
        <v>2E-3</v>
      </c>
      <c r="F30" s="418"/>
      <c r="G30" s="444">
        <f t="shared" si="8"/>
        <v>940</v>
      </c>
      <c r="I30" s="445"/>
    </row>
    <row r="31" spans="2:13" s="418" customFormat="1" ht="15" customHeight="1">
      <c r="B31" s="442" t="s">
        <v>233</v>
      </c>
      <c r="C31" s="19">
        <v>118711</v>
      </c>
      <c r="D31" s="419">
        <v>120227</v>
      </c>
      <c r="E31" s="443">
        <f t="shared" si="7"/>
        <v>-1.2999999999999999E-2</v>
      </c>
      <c r="F31" s="446"/>
      <c r="G31" s="444">
        <f t="shared" si="8"/>
        <v>-1516</v>
      </c>
    </row>
    <row r="32" spans="2:13" s="418" customFormat="1" ht="15" customHeight="1">
      <c r="C32" s="447"/>
      <c r="D32" s="447"/>
    </row>
    <row r="33" spans="2:11" s="418" customFormat="1" ht="15" customHeight="1" thickBot="1">
      <c r="B33" s="415" t="s">
        <v>201</v>
      </c>
      <c r="C33" s="416" t="str">
        <f>+C27</f>
        <v>Dic. 23</v>
      </c>
      <c r="D33" s="416" t="str">
        <f>+D27</f>
        <v xml:space="preserve">     Dic. 22</v>
      </c>
      <c r="E33" s="416" t="s">
        <v>182</v>
      </c>
      <c r="G33" s="416" t="s">
        <v>200</v>
      </c>
      <c r="H33" s="418" t="s">
        <v>344</v>
      </c>
    </row>
    <row r="34" spans="2:11" s="418" customFormat="1" ht="15" customHeight="1">
      <c r="B34" s="442" t="s">
        <v>271</v>
      </c>
      <c r="C34" s="19">
        <v>2306152</v>
      </c>
      <c r="D34" s="419">
        <v>2257165</v>
      </c>
      <c r="E34" s="443">
        <f>ROUND(G34/D34,3)</f>
        <v>2.1999999999999999E-2</v>
      </c>
      <c r="G34" s="444">
        <f>+C34-D34</f>
        <v>48987</v>
      </c>
    </row>
    <row r="35" spans="2:11" s="418" customFormat="1" ht="15" customHeight="1">
      <c r="B35" s="442" t="s">
        <v>272</v>
      </c>
      <c r="C35" s="19">
        <v>2261448</v>
      </c>
      <c r="D35" s="419">
        <v>2212631</v>
      </c>
      <c r="E35" s="443">
        <f>ROUND(G35/D35,3)</f>
        <v>2.1999999999999999E-2</v>
      </c>
      <c r="G35" s="444">
        <f>+C35-D35</f>
        <v>48817</v>
      </c>
    </row>
    <row r="36" spans="2:11" s="418" customFormat="1" ht="15" customHeight="1"/>
    <row r="37" spans="2:11" s="418" customFormat="1" ht="15" customHeight="1">
      <c r="B37" s="448" t="s">
        <v>210</v>
      </c>
    </row>
    <row r="38" spans="2:11" s="418" customFormat="1" ht="15" customHeight="1">
      <c r="B38" s="448"/>
    </row>
    <row r="39" spans="2:11" s="418" customFormat="1" ht="14.4" thickBot="1">
      <c r="B39" s="415" t="s">
        <v>242</v>
      </c>
      <c r="C39" s="416" t="str">
        <f>+C33</f>
        <v>Dic. 23</v>
      </c>
      <c r="D39" s="416" t="str">
        <f>+D33</f>
        <v xml:space="preserve">     Dic. 22</v>
      </c>
      <c r="E39" s="416" t="str">
        <f>+E33</f>
        <v>% Var.</v>
      </c>
    </row>
    <row r="40" spans="2:11" s="418" customFormat="1" ht="13.8">
      <c r="B40" s="429" t="s">
        <v>176</v>
      </c>
      <c r="C40" s="19">
        <v>22478801</v>
      </c>
      <c r="D40" s="419">
        <v>20730872</v>
      </c>
      <c r="E40" s="443">
        <f>ROUND(+C40/D40,3)-1</f>
        <v>8.4000000000000075E-2</v>
      </c>
      <c r="J40" s="449"/>
      <c r="K40" s="449"/>
    </row>
    <row r="41" spans="2:11" s="418" customFormat="1" ht="13.8">
      <c r="B41" s="429" t="s">
        <v>342</v>
      </c>
      <c r="C41" s="19">
        <v>9649213</v>
      </c>
      <c r="D41" s="419">
        <v>7943754</v>
      </c>
      <c r="E41" s="443">
        <f>ROUND(+C41/D41,3)-1</f>
        <v>0.21500000000000008</v>
      </c>
      <c r="J41" s="449"/>
      <c r="K41" s="449"/>
    </row>
    <row r="42" spans="2:11" s="418" customFormat="1" ht="13.8">
      <c r="B42" s="429" t="s">
        <v>291</v>
      </c>
      <c r="C42" s="19">
        <v>3534915</v>
      </c>
      <c r="D42" s="419">
        <v>4213221</v>
      </c>
      <c r="E42" s="443">
        <f>ROUND(+C42/D42,3)-1</f>
        <v>-0.16100000000000003</v>
      </c>
      <c r="J42" s="449"/>
      <c r="K42" s="449"/>
    </row>
    <row r="43" spans="2:11" s="418" customFormat="1" ht="13.8">
      <c r="B43" s="429" t="s">
        <v>177</v>
      </c>
      <c r="C43" s="19">
        <v>2130047</v>
      </c>
      <c r="D43" s="419">
        <v>1966052</v>
      </c>
      <c r="E43" s="443">
        <f>ROUND(+C43/D43,3)-1</f>
        <v>8.2999999999999963E-2</v>
      </c>
      <c r="J43" s="449"/>
      <c r="K43" s="449"/>
    </row>
    <row r="44" spans="2:11" s="418" customFormat="1" ht="13.8">
      <c r="B44" s="433" t="s">
        <v>89</v>
      </c>
      <c r="C44" s="434">
        <f>SUM(C40:C43)</f>
        <v>37792976</v>
      </c>
      <c r="D44" s="434">
        <f>SUM(D40:D43)</f>
        <v>34853899</v>
      </c>
      <c r="E44" s="443">
        <f>ROUND(+C44/D44,3)-1</f>
        <v>8.4000000000000075E-2</v>
      </c>
      <c r="J44" s="436"/>
      <c r="K44" s="449"/>
    </row>
    <row r="45" spans="2:11" s="418" customFormat="1" ht="15" customHeight="1">
      <c r="C45" s="450"/>
      <c r="D45" s="450"/>
      <c r="J45" s="451"/>
    </row>
    <row r="46" spans="2:11" s="418" customFormat="1" ht="15" customHeight="1">
      <c r="C46" s="452"/>
      <c r="D46" s="452"/>
      <c r="G46" s="452"/>
    </row>
    <row r="47" spans="2:11" s="418" customFormat="1" ht="15" customHeight="1"/>
    <row r="50" spans="2:3" ht="15" customHeight="1">
      <c r="B50" s="4"/>
      <c r="C50" s="24"/>
    </row>
    <row r="51" spans="2:3" ht="15" customHeight="1">
      <c r="B51" s="4"/>
      <c r="C51" s="24"/>
    </row>
    <row r="52" spans="2:3" ht="15" customHeight="1">
      <c r="B52" s="4"/>
      <c r="C52" s="24"/>
    </row>
  </sheetData>
  <mergeCells count="7">
    <mergeCell ref="C18:D18"/>
    <mergeCell ref="F18:G18"/>
    <mergeCell ref="I18:J18"/>
    <mergeCell ref="D19:D20"/>
    <mergeCell ref="G19:G20"/>
    <mergeCell ref="I19:I20"/>
    <mergeCell ref="J19:J20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92D050"/>
  </sheetPr>
  <dimension ref="B1:M31"/>
  <sheetViews>
    <sheetView showGridLines="0" workbookViewId="0">
      <selection activeCell="C34" sqref="C34"/>
    </sheetView>
  </sheetViews>
  <sheetFormatPr baseColWidth="10" defaultColWidth="11.44140625" defaultRowHeight="13.8"/>
  <cols>
    <col min="1" max="1" width="11.44140625" style="7"/>
    <col min="2" max="2" width="25.33203125" style="7" bestFit="1" customWidth="1"/>
    <col min="3" max="4" width="12" style="7" bestFit="1" customWidth="1"/>
    <col min="5" max="9" width="11.44140625" style="7"/>
    <col min="10" max="10" width="68.33203125" style="7" bestFit="1" customWidth="1"/>
    <col min="11" max="11" width="12.33203125" style="7" bestFit="1" customWidth="1"/>
    <col min="12" max="16384" width="11.44140625" style="7"/>
  </cols>
  <sheetData>
    <row r="1" spans="2:13">
      <c r="B1" s="12" t="s">
        <v>257</v>
      </c>
    </row>
    <row r="3" spans="2:13" ht="14.4" thickBot="1">
      <c r="B3" s="53" t="s">
        <v>241</v>
      </c>
      <c r="C3" s="6" t="str">
        <f>+Resultados!C3</f>
        <v>Dic. 23</v>
      </c>
      <c r="D3" s="6" t="str">
        <f>+Resultados!D3</f>
        <v xml:space="preserve">     Dic. 22</v>
      </c>
      <c r="E3" s="6" t="s">
        <v>182</v>
      </c>
      <c r="G3" s="6" t="str">
        <f>+Resultados!F3</f>
        <v>2023 / 2022</v>
      </c>
    </row>
    <row r="4" spans="2:13">
      <c r="B4" s="26" t="s">
        <v>275</v>
      </c>
      <c r="C4" s="19">
        <f>+'[2]Segmentos Aguas Andinas'!$C$6</f>
        <v>602598942</v>
      </c>
      <c r="D4" s="19">
        <f>+'[2]Segmentos Aguas Andinas'!$E$6</f>
        <v>545272804</v>
      </c>
      <c r="E4" s="9">
        <f t="shared" ref="E4:E14" si="0">ROUND(+G4/D4,3)</f>
        <v>0.105</v>
      </c>
      <c r="G4" s="8">
        <f>+C4-D4</f>
        <v>57326138</v>
      </c>
      <c r="J4" s="27"/>
      <c r="K4" s="28"/>
      <c r="L4" s="28"/>
      <c r="M4" s="28"/>
    </row>
    <row r="5" spans="2:13">
      <c r="B5" s="26" t="s">
        <v>276</v>
      </c>
      <c r="C5" s="19">
        <f>+'[2]Segmentos Aguas Andinas'!$C$7</f>
        <v>1896161</v>
      </c>
      <c r="D5" s="19">
        <f>+'[2]Segmentos Aguas Andinas'!$E$7</f>
        <v>898163</v>
      </c>
      <c r="E5" s="9">
        <f t="shared" si="0"/>
        <v>1.111</v>
      </c>
      <c r="F5" s="22"/>
      <c r="G5" s="8">
        <f t="shared" ref="G5:G14" si="1">+C5-D5</f>
        <v>997998</v>
      </c>
      <c r="J5" s="27"/>
      <c r="K5" s="28"/>
      <c r="L5" s="28"/>
      <c r="M5" s="28"/>
    </row>
    <row r="6" spans="2:13">
      <c r="B6" s="26" t="s">
        <v>266</v>
      </c>
      <c r="C6" s="19">
        <f>+'[2]Segmentos Aguas Andinas'!$C$9+'[2]Segmentos Aguas Andinas'!$C$10+'[2]Segmentos Aguas Andinas'!$C$11+'[2]Segmentos Aguas Andinas'!$C$16</f>
        <v>-295207729</v>
      </c>
      <c r="D6" s="19">
        <f>+'[2]Segmentos Aguas Andinas'!$E$9+'[2]Segmentos Aguas Andinas'!$E$10+'[2]Segmentos Aguas Andinas'!$E$11+'[2]Segmentos Aguas Andinas'!$E$16</f>
        <v>-257403965</v>
      </c>
      <c r="E6" s="9">
        <f t="shared" si="0"/>
        <v>0.14699999999999999</v>
      </c>
      <c r="G6" s="8">
        <f t="shared" si="1"/>
        <v>-37803764</v>
      </c>
      <c r="J6" s="27"/>
      <c r="K6" s="28"/>
      <c r="L6" s="28"/>
      <c r="M6" s="28"/>
    </row>
    <row r="7" spans="2:13" s="12" customFormat="1">
      <c r="B7" s="54" t="s">
        <v>192</v>
      </c>
      <c r="C7" s="347">
        <f>+SUM(C4:C6)</f>
        <v>309287374</v>
      </c>
      <c r="D7" s="347">
        <f>+SUM(D4:D6)</f>
        <v>288767002</v>
      </c>
      <c r="E7" s="11">
        <f t="shared" si="0"/>
        <v>7.0999999999999994E-2</v>
      </c>
      <c r="G7" s="10">
        <f t="shared" si="1"/>
        <v>20520372</v>
      </c>
      <c r="J7" s="30"/>
      <c r="K7" s="31"/>
      <c r="L7" s="31"/>
      <c r="M7" s="31"/>
    </row>
    <row r="8" spans="2:13">
      <c r="B8" s="26" t="s">
        <v>62</v>
      </c>
      <c r="C8" s="19">
        <f>+'[2]Segmentos Aguas Andinas'!$C$12</f>
        <v>-75423530</v>
      </c>
      <c r="D8" s="19">
        <f>+'[2]Segmentos Aguas Andinas'!$E$12</f>
        <v>-72764097</v>
      </c>
      <c r="E8" s="9">
        <f t="shared" si="0"/>
        <v>3.6999999999999998E-2</v>
      </c>
      <c r="G8" s="8">
        <f t="shared" si="1"/>
        <v>-2659433</v>
      </c>
      <c r="J8" s="27"/>
      <c r="K8" s="28"/>
      <c r="L8" s="28"/>
      <c r="M8" s="28"/>
    </row>
    <row r="9" spans="2:13" s="12" customFormat="1">
      <c r="B9" s="54" t="s">
        <v>267</v>
      </c>
      <c r="C9" s="347">
        <f>+C7+C8</f>
        <v>233863844</v>
      </c>
      <c r="D9" s="347">
        <f>+D7+D8</f>
        <v>216002905</v>
      </c>
      <c r="E9" s="11">
        <f t="shared" si="0"/>
        <v>8.3000000000000004E-2</v>
      </c>
      <c r="G9" s="10">
        <f t="shared" si="1"/>
        <v>17860939</v>
      </c>
      <c r="J9" s="30"/>
      <c r="K9" s="31"/>
      <c r="L9" s="31"/>
      <c r="M9" s="31"/>
    </row>
    <row r="10" spans="2:13">
      <c r="B10" s="26" t="s">
        <v>277</v>
      </c>
      <c r="C10" s="19">
        <f>+'[2]Segmentos Aguas Andinas'!$C$13</f>
        <v>3685254</v>
      </c>
      <c r="D10" s="19">
        <f>+'[2]Segmentos Aguas Andinas'!$E$13</f>
        <v>-1094059</v>
      </c>
      <c r="E10" s="9" t="s">
        <v>316</v>
      </c>
      <c r="F10" s="22"/>
      <c r="G10" s="8">
        <f t="shared" si="1"/>
        <v>4779313</v>
      </c>
      <c r="J10" s="27"/>
      <c r="K10" s="28"/>
      <c r="L10" s="28"/>
      <c r="M10" s="28"/>
    </row>
    <row r="11" spans="2:13">
      <c r="B11" s="26" t="s">
        <v>269</v>
      </c>
      <c r="C11" s="19">
        <f>+'[2]Segmentos Aguas Andinas'!$C$14+'[2]Segmentos Aguas Andinas'!$C$15+'[2]Segmentos Aguas Andinas'!$C$17</f>
        <v>-76175520</v>
      </c>
      <c r="D11" s="19">
        <f>+'[2]Segmentos Aguas Andinas'!$E$14+'[2]Segmentos Aguas Andinas'!$E$15+'[2]Segmentos Aguas Andinas'!$E$17</f>
        <v>-136462604</v>
      </c>
      <c r="E11" s="9">
        <f t="shared" si="0"/>
        <v>-0.442</v>
      </c>
      <c r="G11" s="8">
        <f t="shared" si="1"/>
        <v>60287084</v>
      </c>
      <c r="J11" s="27"/>
      <c r="K11" s="28"/>
      <c r="L11" s="28"/>
      <c r="M11" s="28"/>
    </row>
    <row r="12" spans="2:13">
      <c r="B12" s="26" t="s">
        <v>232</v>
      </c>
      <c r="C12" s="19">
        <f>+'[2]Segmentos Aguas Andinas'!$C$19</f>
        <v>-32554166</v>
      </c>
      <c r="D12" s="19">
        <f>+'[2]Segmentos Aguas Andinas'!$E$19</f>
        <v>2935457</v>
      </c>
      <c r="E12" s="9">
        <f t="shared" si="0"/>
        <v>-12.09</v>
      </c>
      <c r="G12" s="8">
        <f t="shared" si="1"/>
        <v>-35489623</v>
      </c>
      <c r="J12" s="27"/>
      <c r="K12" s="28"/>
      <c r="L12" s="28"/>
      <c r="M12" s="28"/>
    </row>
    <row r="13" spans="2:13">
      <c r="B13" s="26" t="s">
        <v>397</v>
      </c>
      <c r="C13" s="19">
        <f>-'[2]Segmentos Aguas Andinas'!$C$22</f>
        <v>-1895</v>
      </c>
      <c r="D13" s="19">
        <f>-'[2]Segmentos Aguas Andinas'!$E$22</f>
        <v>-2140</v>
      </c>
      <c r="E13" s="9">
        <f t="shared" si="0"/>
        <v>-0.114</v>
      </c>
      <c r="G13" s="8">
        <f t="shared" si="1"/>
        <v>245</v>
      </c>
      <c r="J13" s="27"/>
      <c r="K13" s="28"/>
      <c r="L13" s="28"/>
      <c r="M13" s="28"/>
    </row>
    <row r="14" spans="2:13" s="12" customFormat="1">
      <c r="B14" s="54" t="s">
        <v>270</v>
      </c>
      <c r="C14" s="347">
        <f>SUM(C9:C13)</f>
        <v>128817517</v>
      </c>
      <c r="D14" s="347">
        <f>SUM(D9:D13)</f>
        <v>81379559</v>
      </c>
      <c r="E14" s="11">
        <f t="shared" si="0"/>
        <v>0.58299999999999996</v>
      </c>
      <c r="G14" s="10">
        <f t="shared" si="1"/>
        <v>47437958</v>
      </c>
      <c r="J14" s="30"/>
      <c r="K14" s="31"/>
      <c r="L14" s="31"/>
      <c r="M14" s="31"/>
    </row>
    <row r="15" spans="2:13">
      <c r="C15" s="293">
        <f>+C14-'[2]Segmentos Aguas Andinas'!$C$21</f>
        <v>0</v>
      </c>
      <c r="D15" s="293">
        <f>+D14-'[2]Segmentos Aguas Andinas'!$E$21</f>
        <v>0</v>
      </c>
      <c r="J15" s="27"/>
      <c r="M15" s="28"/>
    </row>
    <row r="16" spans="2:13">
      <c r="C16" s="28"/>
      <c r="D16" s="28"/>
      <c r="J16" s="27"/>
    </row>
    <row r="17" spans="2:10">
      <c r="B17" s="12" t="s">
        <v>258</v>
      </c>
      <c r="J17" s="27"/>
    </row>
    <row r="18" spans="2:10">
      <c r="J18" s="27"/>
    </row>
    <row r="19" spans="2:10" ht="14.4" thickBot="1">
      <c r="B19" s="53" t="s">
        <v>241</v>
      </c>
      <c r="C19" s="6" t="str">
        <f>+C3</f>
        <v>Dic. 23</v>
      </c>
      <c r="D19" s="6" t="str">
        <f>+D3</f>
        <v xml:space="preserve">     Dic. 22</v>
      </c>
      <c r="E19" s="6" t="s">
        <v>182</v>
      </c>
      <c r="G19" s="6" t="str">
        <f>+G3</f>
        <v>2023 / 2022</v>
      </c>
    </row>
    <row r="20" spans="2:10">
      <c r="B20" s="26" t="s">
        <v>275</v>
      </c>
      <c r="C20" s="19">
        <f>+'[2]Segmentos Aguas Andinas'!$D$6</f>
        <v>38256912</v>
      </c>
      <c r="D20" s="19">
        <f>+'[2]Segmentos Aguas Andinas'!$F$6</f>
        <v>35195250</v>
      </c>
      <c r="E20" s="9">
        <f t="shared" ref="E20:E29" si="2">ROUND(+G20/D20,3)</f>
        <v>8.6999999999999994E-2</v>
      </c>
      <c r="G20" s="8">
        <f>+C20-D20</f>
        <v>3061662</v>
      </c>
    </row>
    <row r="21" spans="2:10">
      <c r="B21" s="26" t="s">
        <v>276</v>
      </c>
      <c r="C21" s="19">
        <f>+'[2]Segmentos Aguas Andinas'!$D$7</f>
        <v>11790101</v>
      </c>
      <c r="D21" s="19">
        <f>+'[2]Segmentos Aguas Andinas'!$F$7</f>
        <v>6002529</v>
      </c>
      <c r="E21" s="9">
        <f t="shared" si="2"/>
        <v>0.96399999999999997</v>
      </c>
      <c r="G21" s="8">
        <f t="shared" ref="G21:G29" si="3">+C21-D21</f>
        <v>5787572</v>
      </c>
    </row>
    <row r="22" spans="2:10">
      <c r="B22" s="26" t="s">
        <v>266</v>
      </c>
      <c r="C22" s="19">
        <f>+'[2]Segmentos Aguas Andinas'!$D$9+'[2]Segmentos Aguas Andinas'!$D$10+'[2]Segmentos Aguas Andinas'!$D$11+'[2]Segmentos Aguas Andinas'!$D$16</f>
        <v>-41046449</v>
      </c>
      <c r="D22" s="19">
        <f>+'[2]Segmentos Aguas Andinas'!$F$9+'[2]Segmentos Aguas Andinas'!$F$10+'[2]Segmentos Aguas Andinas'!$F$11+'[2]Segmentos Aguas Andinas'!$F$16</f>
        <v>-34200667</v>
      </c>
      <c r="E22" s="9">
        <f t="shared" si="2"/>
        <v>0.2</v>
      </c>
      <c r="G22" s="8">
        <f t="shared" si="3"/>
        <v>-6845782</v>
      </c>
    </row>
    <row r="23" spans="2:10">
      <c r="B23" s="54" t="s">
        <v>192</v>
      </c>
      <c r="C23" s="347">
        <f>+SUM(C20:C22)</f>
        <v>9000564</v>
      </c>
      <c r="D23" s="347">
        <f>+SUM(D20:D22)</f>
        <v>6997112</v>
      </c>
      <c r="E23" s="11">
        <f t="shared" si="2"/>
        <v>0.28599999999999998</v>
      </c>
      <c r="F23" s="12"/>
      <c r="G23" s="10">
        <f t="shared" si="3"/>
        <v>2003452</v>
      </c>
    </row>
    <row r="24" spans="2:10">
      <c r="B24" s="26" t="s">
        <v>62</v>
      </c>
      <c r="C24" s="19">
        <f>+'[2]Segmentos Aguas Andinas'!$D$12</f>
        <v>-2310091</v>
      </c>
      <c r="D24" s="19">
        <f>+'[2]Segmentos Aguas Andinas'!$F$12</f>
        <v>-2091863</v>
      </c>
      <c r="E24" s="9">
        <f t="shared" si="2"/>
        <v>0.104</v>
      </c>
      <c r="G24" s="8">
        <f t="shared" si="3"/>
        <v>-218228</v>
      </c>
    </row>
    <row r="25" spans="2:10">
      <c r="B25" s="54" t="s">
        <v>267</v>
      </c>
      <c r="C25" s="347">
        <f>+C23+C24</f>
        <v>6690473</v>
      </c>
      <c r="D25" s="347">
        <f>+D23+D24</f>
        <v>4905249</v>
      </c>
      <c r="E25" s="11">
        <f t="shared" si="2"/>
        <v>0.36399999999999999</v>
      </c>
      <c r="F25" s="12"/>
      <c r="G25" s="10">
        <f t="shared" si="3"/>
        <v>1785224</v>
      </c>
    </row>
    <row r="26" spans="2:10">
      <c r="B26" s="26" t="s">
        <v>277</v>
      </c>
      <c r="C26" s="19">
        <f>+'[2]Segmentos Aguas Andinas'!$D$13</f>
        <v>-304432</v>
      </c>
      <c r="D26" s="19">
        <f>+'[2]Segmentos Aguas Andinas'!$F$13</f>
        <v>-383505</v>
      </c>
      <c r="E26" s="9">
        <f t="shared" si="2"/>
        <v>-0.20599999999999999</v>
      </c>
      <c r="G26" s="8">
        <f t="shared" si="3"/>
        <v>79073</v>
      </c>
    </row>
    <row r="27" spans="2:10">
      <c r="B27" s="26" t="s">
        <v>269</v>
      </c>
      <c r="C27" s="19">
        <f>+'[2]Segmentos Aguas Andinas'!$D$14+'[2]Segmentos Aguas Andinas'!$D$15+'[2]Segmentos Aguas Andinas'!$D$17</f>
        <v>-458066</v>
      </c>
      <c r="D27" s="19">
        <f>+'[2]Segmentos Aguas Andinas'!$F$14+'[2]Segmentos Aguas Andinas'!$F$15+'[2]Segmentos Aguas Andinas'!$F$17</f>
        <v>-295495</v>
      </c>
      <c r="E27" s="9">
        <f t="shared" si="2"/>
        <v>0.55000000000000004</v>
      </c>
      <c r="G27" s="8">
        <f t="shared" si="3"/>
        <v>-162571</v>
      </c>
    </row>
    <row r="28" spans="2:10">
      <c r="B28" s="26" t="s">
        <v>232</v>
      </c>
      <c r="C28" s="19">
        <f>+'[2]Segmentos Aguas Andinas'!$D$19</f>
        <v>-1355071</v>
      </c>
      <c r="D28" s="19">
        <f>+'[2]Segmentos Aguas Andinas'!$F$19</f>
        <v>-357074</v>
      </c>
      <c r="E28" s="9">
        <f t="shared" si="2"/>
        <v>2.7949999999999999</v>
      </c>
      <c r="G28" s="8">
        <f t="shared" si="3"/>
        <v>-997997</v>
      </c>
    </row>
    <row r="29" spans="2:10">
      <c r="B29" s="54" t="s">
        <v>270</v>
      </c>
      <c r="C29" s="347">
        <f>SUM(C25:C28)</f>
        <v>4572904</v>
      </c>
      <c r="D29" s="347">
        <f>SUM(D25:D28)</f>
        <v>3869175</v>
      </c>
      <c r="E29" s="11">
        <f t="shared" si="2"/>
        <v>0.182</v>
      </c>
      <c r="F29" s="12"/>
      <c r="G29" s="10">
        <f t="shared" si="3"/>
        <v>703729</v>
      </c>
    </row>
    <row r="30" spans="2:10">
      <c r="C30" s="293">
        <f>+C29-'[2]Segmentos Aguas Andinas'!$D$21</f>
        <v>0</v>
      </c>
      <c r="D30" s="293">
        <f>+D29-'[2]Segmentos Aguas Andinas'!$F$21</f>
        <v>0</v>
      </c>
    </row>
    <row r="31" spans="2:10">
      <c r="C31" s="364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4140625" defaultRowHeight="15" customHeight="1"/>
  <cols>
    <col min="1" max="1" width="4" style="33" customWidth="1"/>
    <col min="2" max="2" width="25.33203125" style="33" bestFit="1" customWidth="1"/>
    <col min="3" max="16384" width="11.44140625" style="33"/>
  </cols>
  <sheetData>
    <row r="1" spans="1:14" ht="15" customHeight="1">
      <c r="A1" s="32" t="s">
        <v>208</v>
      </c>
    </row>
    <row r="3" spans="1:14" ht="15" customHeight="1" thickBot="1">
      <c r="B3" s="21" t="s">
        <v>241</v>
      </c>
      <c r="C3" s="6" t="s">
        <v>326</v>
      </c>
      <c r="D3" s="6" t="s">
        <v>322</v>
      </c>
      <c r="E3" s="6" t="s">
        <v>182</v>
      </c>
      <c r="F3" s="7"/>
      <c r="G3" s="6" t="s">
        <v>323</v>
      </c>
    </row>
    <row r="4" spans="1:14" ht="15" customHeight="1">
      <c r="B4" s="4" t="s">
        <v>178</v>
      </c>
      <c r="C4" s="346">
        <v>129721186</v>
      </c>
      <c r="D4" s="346">
        <v>129721186</v>
      </c>
      <c r="E4" s="9">
        <f>+ROUND(G4/D4,3)</f>
        <v>0</v>
      </c>
      <c r="F4" s="7"/>
      <c r="G4" s="8">
        <f>+C4-D4</f>
        <v>0</v>
      </c>
    </row>
    <row r="5" spans="1:14" s="34" customFormat="1" ht="15" customHeight="1">
      <c r="B5" s="4" t="s">
        <v>191</v>
      </c>
      <c r="C5" s="346">
        <v>-77210262</v>
      </c>
      <c r="D5" s="346">
        <v>-77210262</v>
      </c>
      <c r="E5" s="9">
        <f t="shared" ref="E5:E14" si="0">+ROUND(G5/D5,3)</f>
        <v>0</v>
      </c>
      <c r="F5" s="7"/>
      <c r="G5" s="8">
        <f t="shared" ref="G5:G14" si="1">+C5-D5</f>
        <v>0</v>
      </c>
    </row>
    <row r="6" spans="1:14" s="34" customFormat="1" ht="15" customHeight="1">
      <c r="B6" s="5" t="s">
        <v>192</v>
      </c>
      <c r="C6" s="370">
        <f>SUM(C4:C5)</f>
        <v>52510924</v>
      </c>
      <c r="D6" s="370">
        <f>SUM(D4:D5)</f>
        <v>52510924</v>
      </c>
      <c r="E6" s="11">
        <f t="shared" si="0"/>
        <v>0</v>
      </c>
      <c r="F6" s="12"/>
      <c r="G6" s="10">
        <f t="shared" si="1"/>
        <v>0</v>
      </c>
    </row>
    <row r="7" spans="1:14" s="34" customFormat="1" ht="15" customHeight="1">
      <c r="B7" s="4" t="s">
        <v>193</v>
      </c>
      <c r="C7" s="346">
        <v>-17417464</v>
      </c>
      <c r="D7" s="346">
        <v>-17417464</v>
      </c>
      <c r="E7" s="9">
        <f t="shared" si="0"/>
        <v>0</v>
      </c>
      <c r="F7" s="7"/>
      <c r="G7" s="8">
        <f t="shared" si="1"/>
        <v>0</v>
      </c>
      <c r="L7" s="24"/>
      <c r="M7" s="24"/>
      <c r="N7" s="35"/>
    </row>
    <row r="8" spans="1:14" s="34" customFormat="1" ht="15" customHeight="1">
      <c r="B8" s="5" t="s">
        <v>194</v>
      </c>
      <c r="C8" s="370">
        <f>+C6+C7</f>
        <v>35093460</v>
      </c>
      <c r="D8" s="370">
        <f>+D6+D7</f>
        <v>35093460</v>
      </c>
      <c r="E8" s="11">
        <f t="shared" si="0"/>
        <v>0</v>
      </c>
      <c r="F8" s="12"/>
      <c r="G8" s="10">
        <f t="shared" si="1"/>
        <v>0</v>
      </c>
    </row>
    <row r="9" spans="1:14" s="34" customFormat="1" ht="15" customHeight="1">
      <c r="B9" s="4" t="s">
        <v>287</v>
      </c>
      <c r="C9" s="346">
        <v>-2093189</v>
      </c>
      <c r="D9" s="346">
        <v>-2093189</v>
      </c>
      <c r="E9" s="9">
        <f t="shared" si="0"/>
        <v>0</v>
      </c>
      <c r="F9" s="55"/>
      <c r="G9" s="8">
        <f t="shared" si="1"/>
        <v>0</v>
      </c>
    </row>
    <row r="10" spans="1:14" s="34" customFormat="1" ht="15" customHeight="1">
      <c r="B10" s="4" t="s">
        <v>321</v>
      </c>
      <c r="C10" s="346">
        <v>-34520</v>
      </c>
      <c r="D10" s="346">
        <v>-34520</v>
      </c>
      <c r="E10" s="9" t="s">
        <v>319</v>
      </c>
      <c r="F10" s="55"/>
      <c r="G10" s="8">
        <f t="shared" si="1"/>
        <v>0</v>
      </c>
    </row>
    <row r="11" spans="1:14" s="34" customFormat="1" ht="15" customHeight="1">
      <c r="B11" s="4" t="s">
        <v>195</v>
      </c>
      <c r="C11" s="346">
        <v>-14939258</v>
      </c>
      <c r="D11" s="346">
        <v>-14939258</v>
      </c>
      <c r="E11" s="9">
        <f t="shared" si="0"/>
        <v>0</v>
      </c>
      <c r="F11" s="7"/>
      <c r="G11" s="8">
        <f t="shared" si="1"/>
        <v>0</v>
      </c>
    </row>
    <row r="12" spans="1:14" s="34" customFormat="1" ht="15" customHeight="1">
      <c r="B12" s="4" t="s">
        <v>232</v>
      </c>
      <c r="C12" s="346">
        <v>-2523215</v>
      </c>
      <c r="D12" s="346">
        <v>-2523215</v>
      </c>
      <c r="E12" s="9">
        <f t="shared" si="0"/>
        <v>0</v>
      </c>
      <c r="F12" s="7"/>
      <c r="G12" s="8">
        <f t="shared" si="1"/>
        <v>0</v>
      </c>
    </row>
    <row r="13" spans="1:14" s="34" customFormat="1" ht="15" customHeight="1">
      <c r="B13" s="4" t="s">
        <v>315</v>
      </c>
      <c r="C13" s="346">
        <v>7324842</v>
      </c>
      <c r="D13" s="346">
        <v>7324842</v>
      </c>
      <c r="E13" s="9">
        <f t="shared" si="0"/>
        <v>0</v>
      </c>
      <c r="F13" s="7"/>
      <c r="G13" s="8">
        <f t="shared" si="1"/>
        <v>0</v>
      </c>
    </row>
    <row r="14" spans="1:14" s="34" customFormat="1" ht="15" customHeight="1">
      <c r="B14" s="5" t="s">
        <v>196</v>
      </c>
      <c r="C14" s="347">
        <v>26175218</v>
      </c>
      <c r="D14" s="347">
        <v>37817198</v>
      </c>
      <c r="E14" s="11">
        <f t="shared" si="0"/>
        <v>-0.308</v>
      </c>
      <c r="F14" s="12"/>
      <c r="G14" s="10">
        <f t="shared" si="1"/>
        <v>-11641980</v>
      </c>
    </row>
    <row r="15" spans="1:14" s="34" customFormat="1" ht="15" customHeight="1">
      <c r="C15" s="29"/>
    </row>
    <row r="16" spans="1:14" s="34" customFormat="1" ht="15" customHeight="1"/>
    <row r="17" s="34" customFormat="1" ht="15" customHeight="1"/>
    <row r="18" s="34" customFormat="1" ht="15" customHeight="1"/>
    <row r="19" s="34" customFormat="1" ht="15" customHeight="1"/>
    <row r="20" s="34" customFormat="1" ht="15" customHeight="1"/>
    <row r="21" s="34" customFormat="1" ht="15" customHeight="1"/>
    <row r="22" s="34" customFormat="1" ht="15" customHeight="1"/>
    <row r="23" s="34" customFormat="1" ht="15" customHeight="1"/>
    <row r="24" s="34" customFormat="1" ht="15" customHeight="1"/>
    <row r="25" s="34" customFormat="1" ht="15" customHeight="1"/>
    <row r="26" s="34" customFormat="1" ht="15" customHeight="1"/>
    <row r="27" s="34" customFormat="1" ht="15" customHeight="1"/>
    <row r="28" s="34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9"/>
  <sheetViews>
    <sheetView showGridLines="0" workbookViewId="0">
      <selection activeCell="C11" sqref="C11"/>
    </sheetView>
  </sheetViews>
  <sheetFormatPr baseColWidth="10" defaultColWidth="11.44140625" defaultRowHeight="13.8"/>
  <cols>
    <col min="1" max="1" width="4" style="33" customWidth="1"/>
    <col min="2" max="2" width="25.33203125" style="33" bestFit="1" customWidth="1"/>
    <col min="3" max="16384" width="11.44140625" style="33"/>
  </cols>
  <sheetData>
    <row r="1" spans="1:14" ht="15" customHeight="1">
      <c r="A1" s="32" t="s">
        <v>208</v>
      </c>
    </row>
    <row r="3" spans="1:14" ht="14.4" thickBot="1">
      <c r="B3" s="2" t="s">
        <v>241</v>
      </c>
      <c r="C3" s="392" t="s">
        <v>340</v>
      </c>
      <c r="D3" s="392" t="s">
        <v>339</v>
      </c>
      <c r="E3" s="392" t="s">
        <v>182</v>
      </c>
      <c r="F3" s="7"/>
      <c r="G3" s="392" t="s">
        <v>341</v>
      </c>
    </row>
    <row r="4" spans="1:14" ht="15" customHeight="1">
      <c r="B4" s="4" t="s">
        <v>178</v>
      </c>
      <c r="C4" s="346" t="e">
        <f>+Resultado!#REF!</f>
        <v>#REF!</v>
      </c>
      <c r="D4" s="346" t="e">
        <f>+Resultado!#REF!</f>
        <v>#REF!</v>
      </c>
      <c r="E4" s="9" t="e">
        <f>+ROUND(G4/D4,3)</f>
        <v>#REF!</v>
      </c>
      <c r="F4" s="7"/>
      <c r="G4" s="8" t="e">
        <f>+C4-D4</f>
        <v>#REF!</v>
      </c>
    </row>
    <row r="5" spans="1:14" s="34" customFormat="1" ht="15" customHeight="1">
      <c r="B5" s="4" t="s">
        <v>191</v>
      </c>
      <c r="C5" s="346" t="e">
        <f>+Resultado!#REF!+Resultado!#REF!+Resultado!#REF!</f>
        <v>#REF!</v>
      </c>
      <c r="D5" s="346" t="e">
        <f>+Resultado!#REF!+Resultado!#REF!+Resultado!#REF!</f>
        <v>#REF!</v>
      </c>
      <c r="E5" s="9" t="e">
        <f t="shared" ref="E5:E14" si="0">+ROUND(G5/D5,3)</f>
        <v>#REF!</v>
      </c>
      <c r="F5" s="7"/>
      <c r="G5" s="8" t="e">
        <f t="shared" ref="G5:G14" si="1">+C5-D5</f>
        <v>#REF!</v>
      </c>
    </row>
    <row r="6" spans="1:14" s="34" customFormat="1" ht="15" customHeight="1">
      <c r="B6" s="5" t="s">
        <v>192</v>
      </c>
      <c r="C6" s="370" t="e">
        <f>SUM(C4:C5)</f>
        <v>#REF!</v>
      </c>
      <c r="D6" s="370" t="e">
        <f>SUM(D4:D5)</f>
        <v>#REF!</v>
      </c>
      <c r="E6" s="11" t="e">
        <f t="shared" si="0"/>
        <v>#REF!</v>
      </c>
      <c r="F6" s="12"/>
      <c r="G6" s="10" t="e">
        <f t="shared" si="1"/>
        <v>#REF!</v>
      </c>
    </row>
    <row r="7" spans="1:14" s="34" customFormat="1" ht="15" customHeight="1">
      <c r="B7" s="4" t="s">
        <v>193</v>
      </c>
      <c r="C7" s="346" t="e">
        <f>+Resultado!#REF!</f>
        <v>#REF!</v>
      </c>
      <c r="D7" s="346" t="e">
        <f>+Resultado!#REF!</f>
        <v>#REF!</v>
      </c>
      <c r="E7" s="9" t="e">
        <f t="shared" si="0"/>
        <v>#REF!</v>
      </c>
      <c r="F7" s="7"/>
      <c r="G7" s="8" t="e">
        <f t="shared" si="1"/>
        <v>#REF!</v>
      </c>
      <c r="L7" s="24"/>
      <c r="M7" s="24"/>
      <c r="N7" s="35"/>
    </row>
    <row r="8" spans="1:14" s="34" customFormat="1" ht="15" customHeight="1">
      <c r="B8" s="5" t="s">
        <v>194</v>
      </c>
      <c r="C8" s="370" t="e">
        <f>+C6+C7</f>
        <v>#REF!</v>
      </c>
      <c r="D8" s="370" t="e">
        <f>+D6+D7</f>
        <v>#REF!</v>
      </c>
      <c r="E8" s="11" t="e">
        <f t="shared" si="0"/>
        <v>#REF!</v>
      </c>
      <c r="F8" s="12"/>
      <c r="G8" s="10" t="e">
        <f t="shared" si="1"/>
        <v>#REF!</v>
      </c>
    </row>
    <row r="9" spans="1:14" s="34" customFormat="1" ht="15" customHeight="1">
      <c r="B9" s="4" t="s">
        <v>287</v>
      </c>
      <c r="C9" s="346" t="e">
        <f>+Resultado!#REF!</f>
        <v>#REF!</v>
      </c>
      <c r="D9" s="346" t="e">
        <f>+Resultado!#REF!</f>
        <v>#REF!</v>
      </c>
      <c r="E9" s="9" t="e">
        <f t="shared" si="0"/>
        <v>#REF!</v>
      </c>
      <c r="F9" s="55"/>
      <c r="G9" s="8" t="e">
        <f t="shared" si="1"/>
        <v>#REF!</v>
      </c>
    </row>
    <row r="10" spans="1:14" s="34" customFormat="1" ht="15" hidden="1" customHeight="1">
      <c r="B10" s="4" t="s">
        <v>321</v>
      </c>
      <c r="C10" s="346">
        <v>0</v>
      </c>
      <c r="D10" s="346">
        <v>0</v>
      </c>
      <c r="E10" s="9" t="e">
        <f t="shared" si="0"/>
        <v>#DIV/0!</v>
      </c>
      <c r="F10" s="55"/>
      <c r="G10" s="8">
        <f t="shared" si="1"/>
        <v>0</v>
      </c>
    </row>
    <row r="11" spans="1:14" s="34" customFormat="1" ht="15" customHeight="1">
      <c r="B11" s="4" t="s">
        <v>195</v>
      </c>
      <c r="C11" s="346" t="e">
        <f>+Resultado!#REF!+Resultado!#REF!+Resultado!#REF!+Resultado!#REF!</f>
        <v>#REF!</v>
      </c>
      <c r="D11" s="346" t="e">
        <f>+Resultado!#REF!+Resultado!#REF!+Resultado!#REF!+Resultado!#REF!</f>
        <v>#REF!</v>
      </c>
      <c r="E11" s="9" t="e">
        <f t="shared" si="0"/>
        <v>#REF!</v>
      </c>
      <c r="F11" s="7"/>
      <c r="G11" s="8" t="e">
        <f t="shared" si="1"/>
        <v>#REF!</v>
      </c>
    </row>
    <row r="12" spans="1:14" s="34" customFormat="1" ht="15" customHeight="1">
      <c r="B12" s="4" t="s">
        <v>232</v>
      </c>
      <c r="C12" s="346" t="e">
        <f>Resultado!#REF!</f>
        <v>#REF!</v>
      </c>
      <c r="D12" s="346" t="e">
        <f>Resultado!#REF!</f>
        <v>#REF!</v>
      </c>
      <c r="E12" s="9" t="e">
        <f t="shared" si="0"/>
        <v>#REF!</v>
      </c>
      <c r="F12" s="7"/>
      <c r="G12" s="8" t="e">
        <f t="shared" si="1"/>
        <v>#REF!</v>
      </c>
    </row>
    <row r="13" spans="1:14" s="34" customFormat="1" ht="15" customHeight="1">
      <c r="B13" s="4" t="s">
        <v>315</v>
      </c>
      <c r="C13" s="346">
        <v>0</v>
      </c>
      <c r="D13" s="346">
        <v>3088851</v>
      </c>
      <c r="E13" s="9">
        <f t="shared" si="0"/>
        <v>-1</v>
      </c>
      <c r="F13" s="7"/>
      <c r="G13" s="8">
        <f t="shared" si="1"/>
        <v>-3088851</v>
      </c>
    </row>
    <row r="14" spans="1:14" s="34" customFormat="1" ht="15" customHeight="1">
      <c r="B14" s="5" t="s">
        <v>196</v>
      </c>
      <c r="C14" s="347" t="e">
        <f>+Resultado!#REF!</f>
        <v>#REF!</v>
      </c>
      <c r="D14" s="347" t="e">
        <f>+Resultado!#REF!</f>
        <v>#REF!</v>
      </c>
      <c r="E14" s="11" t="e">
        <f t="shared" si="0"/>
        <v>#REF!</v>
      </c>
      <c r="F14" s="12"/>
      <c r="G14" s="10" t="e">
        <f t="shared" si="1"/>
        <v>#REF!</v>
      </c>
    </row>
    <row r="15" spans="1:14" s="34" customFormat="1" ht="15" customHeight="1">
      <c r="C15" s="29"/>
    </row>
    <row r="16" spans="1:14" s="34" customFormat="1" ht="15" customHeight="1"/>
    <row r="17" s="34" customFormat="1" ht="15" customHeight="1"/>
    <row r="18" s="34" customFormat="1" ht="15" customHeight="1"/>
    <row r="19" s="34" customFormat="1" ht="15" customHeight="1"/>
    <row r="20" s="34" customFormat="1" ht="15" customHeight="1"/>
    <row r="21" s="34" customFormat="1" ht="15" customHeight="1"/>
    <row r="22" s="34" customFormat="1" ht="15" customHeight="1"/>
    <row r="23" s="34" customFormat="1" ht="15" customHeight="1"/>
    <row r="24" s="34" customFormat="1" ht="15" customHeight="1"/>
    <row r="25" s="34" customFormat="1" ht="15" customHeight="1"/>
    <row r="26" s="34" customFormat="1" ht="15" customHeight="1"/>
    <row r="27" s="34" customFormat="1" ht="15" customHeight="1"/>
    <row r="28" s="34" customFormat="1" ht="15" customHeight="1"/>
    <row r="39" ht="15" customHeight="1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92D050"/>
    <pageSetUpPr fitToPage="1"/>
  </sheetPr>
  <dimension ref="B2:L30"/>
  <sheetViews>
    <sheetView showGridLines="0" topLeftCell="B6" workbookViewId="0">
      <selection activeCell="D30" sqref="D30:E30"/>
    </sheetView>
  </sheetViews>
  <sheetFormatPr baseColWidth="10" defaultColWidth="11.44140625" defaultRowHeight="15" customHeight="1"/>
  <cols>
    <col min="1" max="1" width="3.88671875" style="7" customWidth="1"/>
    <col min="2" max="2" width="49.44140625" style="7" customWidth="1"/>
    <col min="3" max="4" width="15.5546875" style="7" customWidth="1"/>
    <col min="5" max="5" width="10.5546875" style="7" customWidth="1"/>
    <col min="6" max="16384" width="11.44140625" style="7"/>
  </cols>
  <sheetData>
    <row r="2" spans="2:12" ht="15" customHeight="1">
      <c r="B2" s="14"/>
      <c r="C2" s="14"/>
      <c r="D2" s="14"/>
      <c r="E2" s="14"/>
    </row>
    <row r="3" spans="2:12" ht="15" customHeight="1" thickBot="1">
      <c r="B3" s="18" t="s">
        <v>183</v>
      </c>
      <c r="C3" s="6" t="str">
        <f>+Resultados!C3</f>
        <v>Dic. 23</v>
      </c>
      <c r="D3" s="6" t="s">
        <v>395</v>
      </c>
      <c r="E3" s="18" t="s">
        <v>182</v>
      </c>
      <c r="I3" s="412"/>
      <c r="J3" s="412"/>
    </row>
    <row r="4" spans="2:12" ht="12.75" customHeight="1">
      <c r="B4" s="4" t="s">
        <v>2</v>
      </c>
      <c r="C4" s="362">
        <f>ROUND(Balance!D15,0)</f>
        <v>275004410</v>
      </c>
      <c r="D4" s="362">
        <f>ROUND(Balance!E15,0)</f>
        <v>324838124</v>
      </c>
      <c r="E4" s="410">
        <f>ROUND((C4/D4)-1,3)</f>
        <v>-0.153</v>
      </c>
      <c r="G4" s="25">
        <f>+C4-D4</f>
        <v>-49833714</v>
      </c>
      <c r="I4" s="412"/>
      <c r="J4" s="412"/>
    </row>
    <row r="5" spans="2:12" ht="12.75" customHeight="1">
      <c r="B5" s="4" t="s">
        <v>3</v>
      </c>
      <c r="C5" s="362">
        <f>ROUND(Balance!D26,0)</f>
        <v>2148343319</v>
      </c>
      <c r="D5" s="362">
        <f>ROUND(Balance!E26,0)</f>
        <v>2054511436</v>
      </c>
      <c r="E5" s="410">
        <f>ROUND((C5/D5)-1,3)</f>
        <v>4.5999999999999999E-2</v>
      </c>
      <c r="G5" s="25">
        <f t="shared" ref="G5:G15" si="0">+C5-D5</f>
        <v>93831883</v>
      </c>
      <c r="I5" s="412"/>
      <c r="J5" s="412"/>
      <c r="K5" s="412"/>
      <c r="L5" s="364"/>
    </row>
    <row r="6" spans="2:12" ht="12.75" customHeight="1">
      <c r="B6" s="5" t="s">
        <v>72</v>
      </c>
      <c r="C6" s="363">
        <f>SUM(C4:C5)</f>
        <v>2423347729</v>
      </c>
      <c r="D6" s="363">
        <f>SUM(D4:D5)</f>
        <v>2379349560</v>
      </c>
      <c r="E6" s="411">
        <f>ROUND((C6/D6)-1,3)</f>
        <v>1.7999999999999999E-2</v>
      </c>
      <c r="G6" s="25">
        <f t="shared" si="0"/>
        <v>43998169</v>
      </c>
    </row>
    <row r="7" spans="2:12" ht="12.75" customHeight="1">
      <c r="B7" s="18" t="s">
        <v>213</v>
      </c>
      <c r="C7" s="408"/>
      <c r="D7" s="408"/>
      <c r="E7" s="409"/>
      <c r="G7" s="25">
        <f t="shared" si="0"/>
        <v>0</v>
      </c>
    </row>
    <row r="8" spans="2:12" ht="12.75" customHeight="1">
      <c r="B8" s="4" t="s">
        <v>0</v>
      </c>
      <c r="C8" s="362">
        <f>ROUND(+Balance!D42,0)</f>
        <v>361668126</v>
      </c>
      <c r="D8" s="362">
        <f>ROUND(+Balance!E42,0)</f>
        <v>265797147</v>
      </c>
      <c r="E8" s="410">
        <f>ROUND((C8/D8)-1,3)</f>
        <v>0.36099999999999999</v>
      </c>
      <c r="G8" s="25">
        <f t="shared" si="0"/>
        <v>95870979</v>
      </c>
    </row>
    <row r="9" spans="2:12" ht="12.75" customHeight="1">
      <c r="B9" s="4" t="s">
        <v>1</v>
      </c>
      <c r="C9" s="362">
        <f>ROUND(+Balance!D54,0)</f>
        <v>1175540305</v>
      </c>
      <c r="D9" s="362">
        <f>ROUND(+Balance!E54,0)</f>
        <v>1274661314</v>
      </c>
      <c r="E9" s="410">
        <f>ROUND((C9/D9)-1,3)</f>
        <v>-7.8E-2</v>
      </c>
      <c r="G9" s="25">
        <f t="shared" si="0"/>
        <v>-99121009</v>
      </c>
    </row>
    <row r="10" spans="2:12" ht="12.75" customHeight="1">
      <c r="B10" s="5" t="s">
        <v>73</v>
      </c>
      <c r="C10" s="363">
        <f>SUM(C8:C9)</f>
        <v>1537208431</v>
      </c>
      <c r="D10" s="363">
        <f>SUM(D8:D9)</f>
        <v>1540458461</v>
      </c>
      <c r="E10" s="411">
        <f>ROUND((C10/D10)-1,3)</f>
        <v>-2E-3</v>
      </c>
      <c r="G10" s="25">
        <f t="shared" si="0"/>
        <v>-3250030</v>
      </c>
    </row>
    <row r="11" spans="2:12" ht="12.75" customHeight="1">
      <c r="B11" s="14"/>
      <c r="C11" s="408"/>
      <c r="D11" s="408"/>
      <c r="E11" s="409"/>
      <c r="G11" s="25">
        <f t="shared" si="0"/>
        <v>0</v>
      </c>
    </row>
    <row r="12" spans="2:12" ht="12.75" customHeight="1">
      <c r="B12" s="4" t="s">
        <v>94</v>
      </c>
      <c r="C12" s="362">
        <f>ROUND(+Balance!D63,0)</f>
        <v>886107830</v>
      </c>
      <c r="D12" s="362">
        <f>ROUND(+Balance!E63,0)</f>
        <v>838861526</v>
      </c>
      <c r="E12" s="410">
        <f>ROUND((C12/D12)-1,3)</f>
        <v>5.6000000000000001E-2</v>
      </c>
      <c r="G12" s="25">
        <f t="shared" si="0"/>
        <v>47246304</v>
      </c>
    </row>
    <row r="13" spans="2:12" ht="12.75" customHeight="1">
      <c r="B13" s="4" t="s">
        <v>95</v>
      </c>
      <c r="C13" s="362">
        <f>ROUND(+Balance!D64,0)</f>
        <v>31468</v>
      </c>
      <c r="D13" s="362">
        <f>ROUND(+Balance!E64,0)</f>
        <v>29573</v>
      </c>
      <c r="E13" s="410">
        <f>ROUND((C13/D13)-1,3)</f>
        <v>6.4000000000000001E-2</v>
      </c>
      <c r="G13" s="25">
        <f t="shared" si="0"/>
        <v>1895</v>
      </c>
    </row>
    <row r="14" spans="2:12" ht="12.75" customHeight="1">
      <c r="B14" s="5" t="s">
        <v>211</v>
      </c>
      <c r="C14" s="363">
        <f>+C13+C12</f>
        <v>886139298</v>
      </c>
      <c r="D14" s="363">
        <f>+D13+D12</f>
        <v>838891099</v>
      </c>
      <c r="E14" s="411">
        <f t="shared" ref="E14:E15" si="1">ROUND((C14/D14)-1,3)</f>
        <v>5.6000000000000001E-2</v>
      </c>
      <c r="G14" s="25">
        <f t="shared" si="0"/>
        <v>47248199</v>
      </c>
    </row>
    <row r="15" spans="2:12" ht="12.75" customHeight="1">
      <c r="B15" s="5" t="s">
        <v>184</v>
      </c>
      <c r="C15" s="363">
        <f>+C14+C10</f>
        <v>2423347729</v>
      </c>
      <c r="D15" s="363">
        <f>+D14+D10</f>
        <v>2379349560</v>
      </c>
      <c r="E15" s="411">
        <f t="shared" si="1"/>
        <v>1.7999999999999999E-2</v>
      </c>
      <c r="G15" s="25">
        <f t="shared" si="0"/>
        <v>43998169</v>
      </c>
    </row>
    <row r="16" spans="2:12" ht="15" customHeight="1">
      <c r="B16" s="14"/>
      <c r="C16" s="14"/>
      <c r="D16" s="14"/>
      <c r="E16" s="14"/>
    </row>
    <row r="17" spans="2:5" ht="15" customHeight="1">
      <c r="C17" s="355">
        <f>+C6-C15</f>
        <v>0</v>
      </c>
      <c r="D17" s="355">
        <f>+D6-D15</f>
        <v>0</v>
      </c>
    </row>
    <row r="19" spans="2:5" ht="15" customHeight="1">
      <c r="B19" s="418"/>
      <c r="C19" s="418"/>
      <c r="D19" s="418"/>
    </row>
    <row r="20" spans="2:5" ht="15" customHeight="1" thickBot="1">
      <c r="B20" s="415" t="s">
        <v>243</v>
      </c>
      <c r="C20" s="416"/>
      <c r="D20" s="416" t="str">
        <f>+C3</f>
        <v>Dic. 23</v>
      </c>
      <c r="E20" s="7" t="s">
        <v>344</v>
      </c>
    </row>
    <row r="21" spans="2:5" ht="15" customHeight="1">
      <c r="B21" s="417" t="s">
        <v>400</v>
      </c>
      <c r="C21" s="418"/>
      <c r="D21" s="419"/>
      <c r="E21" s="395"/>
    </row>
    <row r="22" spans="2:5" ht="15" customHeight="1">
      <c r="B22" s="417" t="s">
        <v>401</v>
      </c>
      <c r="C22" s="418"/>
      <c r="D22" s="419"/>
      <c r="E22" s="395"/>
    </row>
    <row r="23" spans="2:5" ht="15" customHeight="1">
      <c r="B23" s="417" t="s">
        <v>402</v>
      </c>
      <c r="C23" s="418"/>
      <c r="D23" s="419"/>
      <c r="E23" s="395"/>
    </row>
    <row r="24" spans="2:5" ht="15" customHeight="1">
      <c r="B24" s="417" t="s">
        <v>403</v>
      </c>
      <c r="C24" s="418"/>
      <c r="D24" s="419"/>
      <c r="E24" s="395"/>
    </row>
    <row r="25" spans="2:5" ht="15" customHeight="1">
      <c r="B25" s="417" t="s">
        <v>404</v>
      </c>
      <c r="C25" s="418"/>
      <c r="D25" s="419"/>
      <c r="E25" s="395"/>
    </row>
    <row r="26" spans="2:5" ht="15" customHeight="1">
      <c r="B26" s="417" t="s">
        <v>405</v>
      </c>
      <c r="C26" s="418"/>
      <c r="D26" s="419"/>
      <c r="E26" s="395"/>
    </row>
    <row r="27" spans="2:5" ht="15" customHeight="1">
      <c r="B27" s="417" t="s">
        <v>406</v>
      </c>
      <c r="C27" s="418"/>
      <c r="D27" s="419"/>
      <c r="E27" s="395"/>
    </row>
    <row r="28" spans="2:5" ht="15" customHeight="1">
      <c r="B28" s="417" t="s">
        <v>407</v>
      </c>
      <c r="C28" s="418"/>
      <c r="D28" s="419"/>
      <c r="E28" s="395"/>
    </row>
    <row r="29" spans="2:5" ht="15" customHeight="1">
      <c r="B29" s="417" t="s">
        <v>408</v>
      </c>
      <c r="C29" s="418"/>
      <c r="D29" s="419"/>
      <c r="E29" s="395"/>
    </row>
    <row r="30" spans="2:5" ht="15" customHeight="1">
      <c r="B30" s="414" t="s">
        <v>409</v>
      </c>
      <c r="C30" s="395"/>
      <c r="D30" s="463"/>
      <c r="E30" s="463"/>
    </row>
  </sheetData>
  <mergeCells count="1">
    <mergeCell ref="D30:E30"/>
  </mergeCells>
  <phoneticPr fontId="4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92D050"/>
  </sheetPr>
  <dimension ref="A1:K62"/>
  <sheetViews>
    <sheetView showGridLines="0" zoomScaleNormal="100" workbookViewId="0">
      <selection activeCell="B2" sqref="B2:H10"/>
    </sheetView>
  </sheetViews>
  <sheetFormatPr baseColWidth="10" defaultColWidth="11.44140625" defaultRowHeight="15" customHeight="1"/>
  <cols>
    <col min="1" max="1" width="26.109375" style="7" bestFit="1" customWidth="1"/>
    <col min="2" max="2" width="24.6640625" style="7" bestFit="1" customWidth="1"/>
    <col min="3" max="3" width="11.44140625" style="7"/>
    <col min="4" max="4" width="15.33203125" style="7" bestFit="1" customWidth="1"/>
    <col min="5" max="5" width="9.6640625" style="7" customWidth="1"/>
    <col min="6" max="6" width="10" style="7" customWidth="1"/>
    <col min="7" max="7" width="9.6640625" style="7" customWidth="1"/>
    <col min="8" max="8" width="10.88671875" style="7" customWidth="1"/>
    <col min="9" max="9" width="11.44140625" style="7"/>
    <col min="10" max="10" width="14.5546875" style="7" customWidth="1"/>
    <col min="11" max="11" width="11.44140625" style="7"/>
    <col min="12" max="12" width="30.109375" style="7" bestFit="1" customWidth="1"/>
    <col min="13" max="16384" width="11.44140625" style="7"/>
  </cols>
  <sheetData>
    <row r="1" spans="1:11" ht="15" customHeight="1">
      <c r="E1" s="36"/>
      <c r="F1" s="36"/>
      <c r="G1" s="36"/>
      <c r="H1" s="36"/>
    </row>
    <row r="2" spans="1:11" ht="18.75" customHeight="1" thickBot="1">
      <c r="B2" s="37" t="s">
        <v>260</v>
      </c>
      <c r="C2" s="38" t="s">
        <v>203</v>
      </c>
      <c r="D2" s="38" t="s">
        <v>204</v>
      </c>
      <c r="E2" s="38" t="s">
        <v>205</v>
      </c>
      <c r="F2" s="38" t="s">
        <v>214</v>
      </c>
      <c r="G2" s="38" t="s">
        <v>215</v>
      </c>
      <c r="H2" s="38" t="s">
        <v>216</v>
      </c>
      <c r="J2" s="385" t="s">
        <v>289</v>
      </c>
      <c r="K2" s="386" t="s">
        <v>288</v>
      </c>
    </row>
    <row r="3" spans="1:11" ht="15" customHeight="1">
      <c r="A3" s="405"/>
      <c r="B3" s="3" t="s">
        <v>206</v>
      </c>
      <c r="C3" s="39" t="s">
        <v>71</v>
      </c>
      <c r="D3" s="283">
        <f>SUM(E3:H3)</f>
        <v>182603868.21399999</v>
      </c>
      <c r="E3" s="284">
        <f>([3]Contable!$C$8+[3]Contable!$E$8)/1000</f>
        <v>27573978.844000001</v>
      </c>
      <c r="F3" s="284">
        <f>+[3]Contable!$G$8/1000</f>
        <v>40165694.795999996</v>
      </c>
      <c r="G3" s="284">
        <f>[3]Contable!$I$8/1000</f>
        <v>37549422.263999999</v>
      </c>
      <c r="H3" s="284">
        <f>[3]Contable!$K$8/1000+1</f>
        <v>77314772.310000002</v>
      </c>
      <c r="J3" s="348">
        <f>+'[4]N16.3 Clases Instrum. Finan.'!$E$26+'[4]N16.3 Clases Instrum. Finan.'!$E$46</f>
        <v>182603868</v>
      </c>
      <c r="K3" s="387">
        <f>+D3-J3</f>
        <v>0.21399998664855957</v>
      </c>
    </row>
    <row r="4" spans="1:11" ht="15" customHeight="1">
      <c r="A4" s="405"/>
      <c r="B4" s="4" t="s">
        <v>399</v>
      </c>
      <c r="C4" s="39" t="s">
        <v>71</v>
      </c>
      <c r="D4" s="283">
        <f t="shared" ref="D4" si="0">SUM(E4:H4)</f>
        <v>854549533</v>
      </c>
      <c r="E4" s="284">
        <f>+'[4]N16.4 Bonos CP'!$K$23</f>
        <v>20758965</v>
      </c>
      <c r="F4" s="284">
        <f>+'[4]N16.4 Bonos LP'!$I$23</f>
        <v>6903050</v>
      </c>
      <c r="G4" s="284">
        <f>+'[4]N16.4 Bonos LP'!$J$23</f>
        <v>0</v>
      </c>
      <c r="H4" s="284">
        <f>+'[4]N16.4 Bonos LP'!$K$23+'[4]N16.3 Clases Instrum. Finan.'!$E$47</f>
        <v>826887518</v>
      </c>
      <c r="J4" s="348">
        <f>+'[4]N16.3 Clases Instrum. Finan.'!$E$23+'[4]N16.3 Clases Instrum. Finan.'!$E$24+'[4]N16.3 Clases Instrum. Finan.'!$E$25+'[4]N16.3 Clases Instrum. Finan.'!$E$43+'[4]N16.3 Clases Instrum. Finan.'!$E$44+'[4]N16.3 Clases Instrum. Finan.'!$E$45+'[4]N16.3 Clases Instrum. Finan.'!$E$47</f>
        <v>854549533</v>
      </c>
      <c r="K4" s="387">
        <f>+D4-J4</f>
        <v>0</v>
      </c>
    </row>
    <row r="5" spans="1:11" ht="15" customHeight="1">
      <c r="A5" s="405"/>
      <c r="B5" s="4" t="s">
        <v>235</v>
      </c>
      <c r="C5" s="39" t="s">
        <v>71</v>
      </c>
      <c r="D5" s="283">
        <f>SUM(E5:H5)</f>
        <v>243324297</v>
      </c>
      <c r="E5" s="284">
        <f>+'[4]N16.4 Préstamos CP'!$I$22</f>
        <v>107083857</v>
      </c>
      <c r="F5" s="284">
        <f>+'[4]N16.4 Préstamos LP'!$G$21</f>
        <v>106368440</v>
      </c>
      <c r="G5" s="284">
        <f>+'[4]N16.4 Préstamos LP'!$H$21</f>
        <v>29872000</v>
      </c>
      <c r="H5" s="284">
        <v>0</v>
      </c>
      <c r="J5" s="348">
        <f>+'[4]N16.3 Clases Instrum. Finan.'!$E$22+'[4]N16.3 Clases Instrum. Finan.'!$E$42</f>
        <v>243324297</v>
      </c>
      <c r="K5" s="387">
        <f>+D5-J5</f>
        <v>0</v>
      </c>
    </row>
    <row r="6" spans="1:11" ht="15" hidden="1" customHeight="1">
      <c r="A6" s="405"/>
      <c r="B6" s="4" t="s">
        <v>350</v>
      </c>
      <c r="C6" s="39" t="s">
        <v>349</v>
      </c>
      <c r="D6" s="283">
        <f t="shared" ref="D6" si="1">SUM(E6:H6)</f>
        <v>0</v>
      </c>
      <c r="E6" s="284">
        <f>+'[4]N16.3 Clases Instrum. Finan.'!$E$27</f>
        <v>0</v>
      </c>
      <c r="F6" s="284"/>
      <c r="G6" s="284"/>
      <c r="H6" s="284"/>
      <c r="J6" s="348">
        <f>+'[4]N16.3 Clases Instrum. Finan.'!$E$27</f>
        <v>0</v>
      </c>
      <c r="K6" s="387"/>
    </row>
    <row r="7" spans="1:11" ht="15" customHeight="1">
      <c r="B7" s="5" t="s">
        <v>317</v>
      </c>
      <c r="C7" s="39"/>
      <c r="D7" s="283">
        <f>SUM(D3:D6)</f>
        <v>1280477698.214</v>
      </c>
      <c r="E7" s="283">
        <f>SUM(E3:E6)</f>
        <v>155416800.84399998</v>
      </c>
      <c r="F7" s="283">
        <f>SUM(F3:F6)</f>
        <v>153437184.796</v>
      </c>
      <c r="G7" s="283">
        <f>SUM(G3:G6)</f>
        <v>67421422.263999999</v>
      </c>
      <c r="H7" s="283">
        <f>SUM(H3:H6)</f>
        <v>904202290.30999994</v>
      </c>
      <c r="J7" s="348"/>
      <c r="K7" s="387"/>
    </row>
    <row r="8" spans="1:11" ht="15" customHeight="1">
      <c r="A8" s="405"/>
      <c r="B8" s="366" t="s">
        <v>281</v>
      </c>
      <c r="C8" s="367" t="s">
        <v>71</v>
      </c>
      <c r="D8" s="368">
        <f t="shared" ref="D8" si="2">SUM(E8:H8)</f>
        <v>4515091</v>
      </c>
      <c r="E8" s="369">
        <f>+'[4]N14 Arrendamiento NIIF16'!$C$36</f>
        <v>1752912</v>
      </c>
      <c r="F8" s="369">
        <f>+'[5]N14.2 IFRS 16'!$G$36</f>
        <v>1635333</v>
      </c>
      <c r="G8" s="369">
        <f>+'[5]N14.2 IFRS 16'!$H$36</f>
        <v>978008</v>
      </c>
      <c r="H8" s="369">
        <f>+'[4]N14 Arrendamiento NIIF16'!$C$39</f>
        <v>148838</v>
      </c>
      <c r="J8" s="348">
        <f>+'[4]N16.3 Clases Instrum. Finan.'!$E$29+'[4]N16.3 Clases Instrum. Finan.'!$E$49</f>
        <v>4515091</v>
      </c>
      <c r="K8" s="387">
        <f>+D8-J8</f>
        <v>0</v>
      </c>
    </row>
    <row r="9" spans="1:11" ht="15" customHeight="1" thickBot="1">
      <c r="A9" s="405"/>
      <c r="B9" s="5" t="s">
        <v>318</v>
      </c>
      <c r="C9" s="40"/>
      <c r="D9" s="285">
        <f>+D8</f>
        <v>4515091</v>
      </c>
      <c r="E9" s="285">
        <f t="shared" ref="E9:H9" si="3">+E8</f>
        <v>1752912</v>
      </c>
      <c r="F9" s="285">
        <f t="shared" si="3"/>
        <v>1635333</v>
      </c>
      <c r="G9" s="285">
        <f t="shared" si="3"/>
        <v>978008</v>
      </c>
      <c r="H9" s="285">
        <f t="shared" si="3"/>
        <v>148838</v>
      </c>
      <c r="J9" s="348"/>
      <c r="K9" s="349"/>
    </row>
    <row r="10" spans="1:11" ht="15" customHeight="1">
      <c r="B10" s="41" t="s">
        <v>212</v>
      </c>
      <c r="C10" s="14"/>
      <c r="D10" s="283">
        <f>+D7+D9</f>
        <v>1284992789.214</v>
      </c>
      <c r="E10" s="283">
        <f t="shared" ref="E10:H10" si="4">+E7+E9</f>
        <v>157169712.84399998</v>
      </c>
      <c r="F10" s="283">
        <f t="shared" si="4"/>
        <v>155072517.796</v>
      </c>
      <c r="G10" s="283">
        <f t="shared" si="4"/>
        <v>68399430.263999999</v>
      </c>
      <c r="H10" s="283">
        <f t="shared" si="4"/>
        <v>904351128.30999994</v>
      </c>
      <c r="J10" s="23"/>
    </row>
    <row r="12" spans="1:11" ht="15" customHeight="1">
      <c r="B12" s="7" t="s">
        <v>244</v>
      </c>
      <c r="D12" s="23"/>
      <c r="E12" s="23"/>
      <c r="F12" s="7" t="s">
        <v>245</v>
      </c>
      <c r="G12" s="23"/>
      <c r="H12" s="23"/>
    </row>
    <row r="13" spans="1:11" ht="15" customHeight="1">
      <c r="B13" s="401" t="str">
        <f>+B3</f>
        <v>AFRs</v>
      </c>
      <c r="C13" s="403">
        <f>ROUND(D13/$D$10,5)</f>
        <v>0.1421</v>
      </c>
      <c r="D13" s="402">
        <f>+D3</f>
        <v>182603868.21399999</v>
      </c>
      <c r="E13" s="42"/>
      <c r="F13" s="401" t="s">
        <v>218</v>
      </c>
      <c r="G13" s="403">
        <f>ROUND(H13/$D$10,5)</f>
        <v>0.91522000000000003</v>
      </c>
      <c r="H13" s="402">
        <f>+B45+B46+B47+B50+B48</f>
        <v>1176054590</v>
      </c>
      <c r="I13" s="405"/>
    </row>
    <row r="14" spans="1:11" ht="15" customHeight="1">
      <c r="B14" s="42" t="str">
        <f>+B4</f>
        <v>Bonos/Derivado</v>
      </c>
      <c r="C14" s="404">
        <f t="shared" ref="C14:C16" si="5">ROUND(D14/$D$10,5)</f>
        <v>0.66501999999999994</v>
      </c>
      <c r="D14" s="43">
        <f>+D4</f>
        <v>854549533</v>
      </c>
      <c r="E14" s="42"/>
      <c r="F14" s="42" t="s">
        <v>217</v>
      </c>
      <c r="G14" s="404">
        <f>ROUND(H14/$D$10,5)</f>
        <v>8.4779999999999994E-2</v>
      </c>
      <c r="H14" s="43">
        <f>+B44</f>
        <v>108938199</v>
      </c>
      <c r="I14" s="405"/>
    </row>
    <row r="15" spans="1:11" ht="15" customHeight="1">
      <c r="B15" s="42" t="s">
        <v>235</v>
      </c>
      <c r="C15" s="404">
        <f t="shared" si="5"/>
        <v>0.18936</v>
      </c>
      <c r="D15" s="43">
        <f>+D5</f>
        <v>243324297</v>
      </c>
      <c r="E15" s="42"/>
      <c r="F15" s="42"/>
      <c r="G15" s="407">
        <f>+G13+G14</f>
        <v>1</v>
      </c>
      <c r="H15" s="43">
        <f>+SUM(H13:H14)</f>
        <v>1284992789</v>
      </c>
      <c r="J15" s="393"/>
    </row>
    <row r="16" spans="1:11" ht="15" customHeight="1">
      <c r="B16" s="42" t="s">
        <v>350</v>
      </c>
      <c r="C16" s="404">
        <f t="shared" si="5"/>
        <v>0</v>
      </c>
      <c r="D16" s="43">
        <f>+D6</f>
        <v>0</v>
      </c>
      <c r="E16" s="42"/>
      <c r="F16" s="42"/>
      <c r="G16" s="394"/>
      <c r="H16" s="406"/>
      <c r="J16" s="393"/>
    </row>
    <row r="17" spans="2:8" ht="13.8">
      <c r="B17" s="42" t="str">
        <f>+B8</f>
        <v>Pasivo por arrendamientos</v>
      </c>
      <c r="C17" s="404">
        <f>ROUND(D17/$D$10,4)</f>
        <v>3.5000000000000001E-3</v>
      </c>
      <c r="D17" s="43">
        <f>+D8</f>
        <v>4515091</v>
      </c>
      <c r="G17" s="44"/>
    </row>
    <row r="18" spans="2:8" ht="15" customHeight="1">
      <c r="C18" s="400">
        <f>SUM(C13:C17)</f>
        <v>0.99997999999999987</v>
      </c>
      <c r="D18" s="396"/>
      <c r="G18" s="45"/>
    </row>
    <row r="19" spans="2:8" ht="15" customHeight="1">
      <c r="C19" s="44"/>
      <c r="D19" s="23"/>
      <c r="E19" s="23"/>
      <c r="F19" s="23"/>
      <c r="G19" s="23"/>
      <c r="H19" s="23"/>
    </row>
    <row r="20" spans="2:8" ht="15" customHeight="1">
      <c r="C20" s="45"/>
      <c r="D20" s="23"/>
      <c r="E20" s="23"/>
      <c r="F20" s="23"/>
      <c r="G20" s="23"/>
      <c r="H20" s="23"/>
    </row>
    <row r="21" spans="2:8" ht="15" customHeight="1">
      <c r="D21" s="23"/>
    </row>
    <row r="22" spans="2:8" ht="15" customHeight="1">
      <c r="D22" s="23"/>
    </row>
    <row r="44" spans="1:4" ht="15" customHeight="1">
      <c r="A44" s="140" t="s">
        <v>305</v>
      </c>
      <c r="B44" s="352">
        <f>+'[4]N3 Tasa de interes'!C13</f>
        <v>108938199</v>
      </c>
      <c r="C44" s="391">
        <f t="shared" ref="C44:C50" si="6">+ROUND(B44/$B$51,4)</f>
        <v>8.48E-2</v>
      </c>
      <c r="D44" s="355"/>
    </row>
    <row r="45" spans="1:4" ht="15" customHeight="1">
      <c r="A45" s="140" t="s">
        <v>306</v>
      </c>
      <c r="B45" s="352">
        <f>+'[4]N3 Tasa de interes'!C14</f>
        <v>134386098</v>
      </c>
      <c r="C45" s="391">
        <f t="shared" si="6"/>
        <v>0.1046</v>
      </c>
    </row>
    <row r="46" spans="1:4" ht="15" customHeight="1">
      <c r="A46" s="140" t="s">
        <v>234</v>
      </c>
      <c r="B46" s="352">
        <f>+'[4]N3 Tasa de interes'!C15</f>
        <v>848806707</v>
      </c>
      <c r="C46" s="391">
        <f t="shared" si="6"/>
        <v>0.66059999999999997</v>
      </c>
    </row>
    <row r="47" spans="1:4" ht="15" customHeight="1">
      <c r="A47" s="140" t="s">
        <v>303</v>
      </c>
      <c r="B47" s="352">
        <f>+'[4]N3 Tasa de interes'!C16</f>
        <v>182603868</v>
      </c>
      <c r="C47" s="391">
        <f t="shared" si="6"/>
        <v>0.1421</v>
      </c>
    </row>
    <row r="48" spans="1:4" ht="15" customHeight="1">
      <c r="A48" s="140" t="s">
        <v>345</v>
      </c>
      <c r="B48" s="352">
        <f>+'[4]N3 Tasa de interes'!C18</f>
        <v>5742826</v>
      </c>
      <c r="C48" s="391">
        <f t="shared" si="6"/>
        <v>4.4999999999999997E-3</v>
      </c>
      <c r="D48" s="140"/>
    </row>
    <row r="49" spans="1:3" ht="15" customHeight="1">
      <c r="A49" s="140" t="s">
        <v>350</v>
      </c>
      <c r="B49" s="352">
        <f>+'[4]N3 Tasa de interes'!C17</f>
        <v>0</v>
      </c>
      <c r="C49" s="391">
        <f t="shared" si="6"/>
        <v>0</v>
      </c>
    </row>
    <row r="50" spans="1:3" ht="15" customHeight="1">
      <c r="A50" s="140" t="s">
        <v>301</v>
      </c>
      <c r="B50" s="352">
        <f>+'[4]N3 Tasa de interes'!C19</f>
        <v>4515091</v>
      </c>
      <c r="C50" s="391">
        <f t="shared" si="6"/>
        <v>3.5000000000000001E-3</v>
      </c>
    </row>
    <row r="51" spans="1:3" ht="15" customHeight="1">
      <c r="A51" s="139" t="s">
        <v>304</v>
      </c>
      <c r="B51" s="353">
        <f>+SUM(B44:B50)</f>
        <v>1284992789</v>
      </c>
      <c r="C51" s="354">
        <f>+SUM(C44:C50)</f>
        <v>1.0001</v>
      </c>
    </row>
    <row r="52" spans="1:3" ht="15" customHeight="1">
      <c r="A52" s="140"/>
    </row>
    <row r="53" spans="1:3" ht="15" customHeight="1">
      <c r="A53" s="350" t="s">
        <v>325</v>
      </c>
      <c r="B53" s="350"/>
      <c r="C53" s="350"/>
    </row>
    <row r="54" spans="1:3" ht="15" customHeight="1">
      <c r="A54" s="140" t="s">
        <v>218</v>
      </c>
      <c r="B54" s="140"/>
      <c r="C54" s="274">
        <f>+ROUND((C46+C47+C50+C45+C48),3)</f>
        <v>0.91500000000000004</v>
      </c>
    </row>
    <row r="55" spans="1:3" ht="15" customHeight="1">
      <c r="A55" s="140" t="s">
        <v>217</v>
      </c>
      <c r="B55" s="140"/>
      <c r="C55" s="274">
        <f>+ROUND((C44),3)</f>
        <v>8.5000000000000006E-2</v>
      </c>
    </row>
    <row r="56" spans="1:3" ht="15" customHeight="1">
      <c r="A56" s="351" t="s">
        <v>199</v>
      </c>
      <c r="B56" s="351"/>
      <c r="C56" s="399">
        <f>+C54+C55</f>
        <v>1</v>
      </c>
    </row>
    <row r="57" spans="1:3" ht="15" customHeight="1">
      <c r="A57" s="140" t="s">
        <v>299</v>
      </c>
      <c r="B57" s="140"/>
      <c r="C57" s="240">
        <f>+ROUND((C46/($C$46+$C$47+$C$50+$C$45+C48)),3)</f>
        <v>0.72199999999999998</v>
      </c>
    </row>
    <row r="58" spans="1:3" ht="15" customHeight="1">
      <c r="A58" s="140" t="s">
        <v>300</v>
      </c>
      <c r="B58" s="140"/>
      <c r="C58" s="240">
        <f>+ROUND((C47/($C$46+$C$47+$C$50+$C$45+C48)),3)</f>
        <v>0.155</v>
      </c>
    </row>
    <row r="59" spans="1:3" ht="15" customHeight="1">
      <c r="A59" s="140" t="s">
        <v>302</v>
      </c>
      <c r="B59" s="140"/>
      <c r="C59" s="240">
        <f>+ROUND((C45/($C$46+$C$47+$C$50+$C$45+C48)),3)</f>
        <v>0.114</v>
      </c>
    </row>
    <row r="60" spans="1:3" ht="15" customHeight="1">
      <c r="A60" s="140" t="s">
        <v>345</v>
      </c>
      <c r="B60" s="140"/>
      <c r="C60" s="240">
        <f>+ROUND((C48/($C$46+$C$47+$C$50+$C$45+C48)),3)</f>
        <v>5.0000000000000001E-3</v>
      </c>
    </row>
    <row r="61" spans="1:3" ht="15" customHeight="1">
      <c r="A61" s="140" t="s">
        <v>301</v>
      </c>
      <c r="B61" s="140"/>
      <c r="C61" s="240">
        <f>+ROUND((C50/($C$46+$C$47+$C$50+C45+C48)),3)</f>
        <v>4.0000000000000001E-3</v>
      </c>
    </row>
    <row r="62" spans="1:3" ht="15" customHeight="1">
      <c r="A62" s="351" t="s">
        <v>199</v>
      </c>
      <c r="B62" s="351"/>
      <c r="C62" s="399">
        <f>SUM(C57:C61)</f>
        <v>1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92D050"/>
    <pageSetUpPr fitToPage="1"/>
  </sheetPr>
  <dimension ref="B3:G18"/>
  <sheetViews>
    <sheetView showGridLines="0" workbookViewId="0">
      <selection activeCell="D4" sqref="D4"/>
    </sheetView>
  </sheetViews>
  <sheetFormatPr baseColWidth="10" defaultColWidth="11.44140625" defaultRowHeight="15" customHeight="1"/>
  <cols>
    <col min="1" max="1" width="6" style="7" customWidth="1"/>
    <col min="2" max="2" width="33.33203125" style="7" customWidth="1"/>
    <col min="3" max="4" width="12" style="7" bestFit="1" customWidth="1"/>
    <col min="5" max="6" width="11.44140625" style="7"/>
    <col min="7" max="7" width="12" style="7" bestFit="1" customWidth="1"/>
    <col min="8" max="16384" width="11.44140625" style="7"/>
  </cols>
  <sheetData>
    <row r="3" spans="2:7" ht="15" customHeight="1" thickBot="1">
      <c r="B3" s="21" t="s">
        <v>278</v>
      </c>
      <c r="C3" s="6" t="str">
        <f>+Resultados!C3</f>
        <v>Dic. 23</v>
      </c>
      <c r="D3" s="6" t="str">
        <f>+Resultados!D3</f>
        <v xml:space="preserve">     Dic. 22</v>
      </c>
      <c r="E3" s="6" t="s">
        <v>182</v>
      </c>
    </row>
    <row r="4" spans="2:7" ht="15" customHeight="1">
      <c r="B4" s="4" t="s">
        <v>185</v>
      </c>
      <c r="C4" s="8">
        <f>ROUND(Cálculos!D28,0)</f>
        <v>229397451</v>
      </c>
      <c r="D4" s="8">
        <f>ROUND(Cálculos!E28,0)</f>
        <v>242903240</v>
      </c>
      <c r="E4" s="46">
        <f>ROUND((C4-D4)/D4,3)</f>
        <v>-5.6000000000000001E-2</v>
      </c>
      <c r="G4" s="365">
        <f>+C4-D4</f>
        <v>-13505789</v>
      </c>
    </row>
    <row r="5" spans="2:7" ht="15" customHeight="1">
      <c r="B5" s="4" t="s">
        <v>186</v>
      </c>
      <c r="C5" s="8">
        <f>ROUND(Cálculos!D29,0)</f>
        <v>-150000484</v>
      </c>
      <c r="D5" s="8">
        <f>ROUND(Cálculos!E29,0)</f>
        <v>-165900708</v>
      </c>
      <c r="E5" s="46">
        <f>ROUND((C5-D5)/D5,3)</f>
        <v>-9.6000000000000002E-2</v>
      </c>
      <c r="G5" s="365">
        <f t="shared" ref="G5:G8" si="0">+C5-D5</f>
        <v>15900224</v>
      </c>
    </row>
    <row r="6" spans="2:7" ht="15" customHeight="1">
      <c r="B6" s="4" t="s">
        <v>187</v>
      </c>
      <c r="C6" s="8">
        <f>ROUND(Cálculos!D30,0)</f>
        <v>-149575627</v>
      </c>
      <c r="D6" s="8">
        <f>ROUND(Cálculos!E30,0)</f>
        <v>-61180505</v>
      </c>
      <c r="E6" s="46">
        <f>ROUND((C6-D6)/D6,3)</f>
        <v>1.4450000000000001</v>
      </c>
      <c r="G6" s="365">
        <f t="shared" si="0"/>
        <v>-88395122</v>
      </c>
    </row>
    <row r="7" spans="2:7" ht="15" customHeight="1">
      <c r="B7" s="5" t="s">
        <v>259</v>
      </c>
      <c r="C7" s="10">
        <f>SUM(C4:C6)</f>
        <v>-70178660</v>
      </c>
      <c r="D7" s="10">
        <f>SUM(D4:D6)</f>
        <v>15822027</v>
      </c>
      <c r="E7" s="371">
        <f>ROUND((C7-D7)/D7,3)</f>
        <v>-5.4359999999999999</v>
      </c>
      <c r="G7" s="365">
        <f t="shared" si="0"/>
        <v>-86000687</v>
      </c>
    </row>
    <row r="8" spans="2:7" ht="15" customHeight="1">
      <c r="B8" s="5" t="s">
        <v>188</v>
      </c>
      <c r="C8" s="10">
        <f>ROUND(Cálculos!D33,0)</f>
        <v>109156681</v>
      </c>
      <c r="D8" s="10">
        <f>ROUND(Cálculos!E33,0)</f>
        <v>179335341</v>
      </c>
      <c r="E8" s="371">
        <f>ROUND((C8-D8)/D8,3)</f>
        <v>-0.39100000000000001</v>
      </c>
      <c r="G8" s="365">
        <f t="shared" si="0"/>
        <v>-70178660</v>
      </c>
    </row>
    <row r="9" spans="2:7" ht="15" customHeight="1">
      <c r="C9" s="28">
        <f>+C8-Balance!D6</f>
        <v>0</v>
      </c>
      <c r="D9" s="28">
        <f>+D8-Balance!E6</f>
        <v>0</v>
      </c>
    </row>
    <row r="11" spans="2:7" ht="15" customHeight="1">
      <c r="C11" s="17"/>
    </row>
    <row r="12" spans="2:7" ht="15" customHeight="1">
      <c r="C12" s="17"/>
      <c r="D12" s="28"/>
    </row>
    <row r="13" spans="2:7" ht="15" customHeight="1">
      <c r="C13" s="17"/>
    </row>
    <row r="14" spans="2:7" ht="15" customHeight="1">
      <c r="C14" s="17"/>
    </row>
    <row r="15" spans="2:7" ht="15" customHeight="1">
      <c r="C15" s="17"/>
    </row>
    <row r="16" spans="2:7" ht="15" customHeight="1">
      <c r="C16" s="17"/>
    </row>
    <row r="17" spans="3:3" ht="15" customHeight="1">
      <c r="C17" s="17"/>
    </row>
    <row r="18" spans="3:3" ht="15" customHeight="1">
      <c r="C18" s="23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92D050"/>
    <pageSetUpPr fitToPage="1"/>
  </sheetPr>
  <dimension ref="A3:H17"/>
  <sheetViews>
    <sheetView showGridLines="0" topLeftCell="A3" workbookViewId="0">
      <selection activeCell="H8" sqref="H8"/>
    </sheetView>
  </sheetViews>
  <sheetFormatPr baseColWidth="10" defaultColWidth="11.44140625" defaultRowHeight="15" customHeight="1"/>
  <cols>
    <col min="1" max="1" width="8" style="16" bestFit="1" customWidth="1"/>
    <col min="2" max="2" width="35.33203125" style="16" bestFit="1" customWidth="1"/>
    <col min="3" max="3" width="8.5546875" style="16" customWidth="1"/>
    <col min="4" max="5" width="13.6640625" style="16" customWidth="1"/>
    <col min="6" max="16384" width="11.44140625" style="16"/>
  </cols>
  <sheetData>
    <row r="3" spans="1:8" ht="15" customHeight="1" thickBot="1">
      <c r="B3" s="47"/>
      <c r="C3" s="38"/>
      <c r="D3" s="38" t="str">
        <f>+'Estado de situación financiera'!C3</f>
        <v>Dic. 23</v>
      </c>
      <c r="E3" s="38" t="str">
        <f>+'Estado de situación financiera'!D3</f>
        <v xml:space="preserve">         Dic. 22</v>
      </c>
      <c r="F3" s="16" t="s">
        <v>395</v>
      </c>
      <c r="G3" s="16" t="s">
        <v>411</v>
      </c>
    </row>
    <row r="4" spans="1:8" ht="15" customHeight="1">
      <c r="B4" s="5" t="s">
        <v>64</v>
      </c>
      <c r="C4" s="4"/>
    </row>
    <row r="5" spans="1:8" ht="15" customHeight="1">
      <c r="A5" s="48"/>
      <c r="B5" s="4" t="s">
        <v>202</v>
      </c>
      <c r="C5" s="39" t="s">
        <v>65</v>
      </c>
      <c r="D5" s="49">
        <f>Cálculos!K7</f>
        <v>0.76</v>
      </c>
      <c r="E5" s="49">
        <f>Cálculos!M7-0.03</f>
        <v>1.19</v>
      </c>
      <c r="F5" s="50">
        <v>1.22</v>
      </c>
      <c r="G5" s="50">
        <v>1.19</v>
      </c>
      <c r="H5" s="50">
        <f>F5-G5</f>
        <v>3.0000000000000027E-2</v>
      </c>
    </row>
    <row r="6" spans="1:8" ht="15" customHeight="1">
      <c r="A6" s="48"/>
      <c r="B6" s="4" t="s">
        <v>189</v>
      </c>
      <c r="C6" s="39" t="s">
        <v>65</v>
      </c>
      <c r="D6" s="49">
        <f>Cálculos!K10</f>
        <v>0.3</v>
      </c>
      <c r="E6" s="49">
        <f>Cálculos!M10-0.01</f>
        <v>0.66</v>
      </c>
      <c r="F6" s="50">
        <v>0.67</v>
      </c>
      <c r="G6" s="50">
        <v>0.66</v>
      </c>
      <c r="H6" s="50">
        <f t="shared" ref="H6:H16" si="0">F6-G6</f>
        <v>1.0000000000000009E-2</v>
      </c>
    </row>
    <row r="7" spans="1:8" ht="15" customHeight="1">
      <c r="B7" s="5" t="s">
        <v>66</v>
      </c>
      <c r="C7" s="4"/>
      <c r="D7" s="51"/>
      <c r="E7" s="51"/>
      <c r="F7" s="50"/>
      <c r="G7" s="50"/>
      <c r="H7" s="50">
        <f t="shared" si="0"/>
        <v>0</v>
      </c>
    </row>
    <row r="8" spans="1:8" ht="15" customHeight="1">
      <c r="B8" s="4" t="s">
        <v>190</v>
      </c>
      <c r="C8" s="39" t="s">
        <v>65</v>
      </c>
      <c r="D8" s="49">
        <f>Cálculos!K14</f>
        <v>1.73</v>
      </c>
      <c r="E8" s="49">
        <f>Cálculos!M14</f>
        <v>1.84</v>
      </c>
      <c r="F8" s="50">
        <v>1.84</v>
      </c>
      <c r="G8" s="50">
        <v>1.84</v>
      </c>
      <c r="H8" s="50">
        <f t="shared" si="0"/>
        <v>0</v>
      </c>
    </row>
    <row r="9" spans="1:8" ht="15" customHeight="1">
      <c r="A9" s="48"/>
      <c r="B9" s="4" t="s">
        <v>67</v>
      </c>
      <c r="C9" s="39" t="s">
        <v>65</v>
      </c>
      <c r="D9" s="49">
        <f>Cálculos!K17</f>
        <v>0.23530000000000001</v>
      </c>
      <c r="E9" s="49">
        <f>Cálculos!M17+0.01</f>
        <v>0.1825</v>
      </c>
      <c r="F9" s="50">
        <v>0.17249999999999999</v>
      </c>
      <c r="G9" s="50">
        <v>0.18</v>
      </c>
      <c r="H9" s="50">
        <f t="shared" si="0"/>
        <v>-7.5000000000000067E-3</v>
      </c>
    </row>
    <row r="10" spans="1:8" ht="15" customHeight="1">
      <c r="A10" s="48"/>
      <c r="B10" s="4" t="s">
        <v>68</v>
      </c>
      <c r="C10" s="39" t="s">
        <v>65</v>
      </c>
      <c r="D10" s="49">
        <f>Cálculos!K20</f>
        <v>0.76470000000000005</v>
      </c>
      <c r="E10" s="49">
        <f>Cálculos!M20-0.01</f>
        <v>0.8175</v>
      </c>
      <c r="F10" s="50">
        <v>0.82750000000000001</v>
      </c>
      <c r="G10" s="50">
        <v>0.82</v>
      </c>
      <c r="H10" s="50">
        <f t="shared" si="0"/>
        <v>7.5000000000000622E-3</v>
      </c>
    </row>
    <row r="11" spans="1:8" ht="15" customHeight="1">
      <c r="A11" s="48"/>
      <c r="B11" s="4" t="s">
        <v>219</v>
      </c>
      <c r="C11" s="39" t="s">
        <v>65</v>
      </c>
      <c r="D11" s="49">
        <f>Cálculos!K23</f>
        <v>4.42</v>
      </c>
      <c r="E11" s="49">
        <f>Cálculos!M23</f>
        <v>3.26</v>
      </c>
      <c r="F11" s="50">
        <v>3.26</v>
      </c>
      <c r="G11" s="50">
        <v>3.26</v>
      </c>
      <c r="H11" s="50">
        <f t="shared" si="0"/>
        <v>0</v>
      </c>
    </row>
    <row r="12" spans="1:8" ht="15" customHeight="1">
      <c r="B12" s="5" t="s">
        <v>69</v>
      </c>
      <c r="C12" s="4"/>
      <c r="D12" s="51"/>
      <c r="E12" s="51"/>
      <c r="F12" s="50"/>
      <c r="G12" s="50"/>
      <c r="H12" s="50">
        <f t="shared" si="0"/>
        <v>0</v>
      </c>
    </row>
    <row r="13" spans="1:8" ht="24">
      <c r="A13" s="48"/>
      <c r="B13" s="52" t="s">
        <v>220</v>
      </c>
      <c r="C13" s="39" t="s">
        <v>70</v>
      </c>
      <c r="D13" s="49">
        <f>Cálculos!K39</f>
        <v>15.47</v>
      </c>
      <c r="E13" s="49">
        <f>Cálculos!M39</f>
        <v>10.14</v>
      </c>
      <c r="F13" s="49">
        <v>10.14</v>
      </c>
      <c r="G13" s="49">
        <v>10.14</v>
      </c>
      <c r="H13" s="50">
        <f t="shared" si="0"/>
        <v>0</v>
      </c>
    </row>
    <row r="14" spans="1:8" ht="15" customHeight="1">
      <c r="A14" s="48"/>
      <c r="B14" s="4" t="s">
        <v>221</v>
      </c>
      <c r="C14" s="39" t="s">
        <v>70</v>
      </c>
      <c r="D14" s="49">
        <f>Cálculos!K42</f>
        <v>5.7299999999999995</v>
      </c>
      <c r="E14" s="49">
        <f>Cálculos!M42</f>
        <v>3.6999999999999997</v>
      </c>
      <c r="F14" s="50">
        <v>3.6999999999999997</v>
      </c>
      <c r="G14" s="50">
        <v>3.7</v>
      </c>
      <c r="H14" s="50">
        <f t="shared" si="0"/>
        <v>0</v>
      </c>
    </row>
    <row r="15" spans="1:8" ht="15" customHeight="1">
      <c r="A15" s="48"/>
      <c r="B15" s="4" t="s">
        <v>222</v>
      </c>
      <c r="C15" s="39" t="s">
        <v>71</v>
      </c>
      <c r="D15" s="49">
        <f>Cálculos!K45</f>
        <v>21.8</v>
      </c>
      <c r="E15" s="49">
        <f>Cálculos!M45</f>
        <v>13.93</v>
      </c>
      <c r="F15" s="50">
        <v>13.93</v>
      </c>
      <c r="G15" s="50">
        <v>13.93</v>
      </c>
      <c r="H15" s="50">
        <f t="shared" si="0"/>
        <v>0</v>
      </c>
    </row>
    <row r="16" spans="1:8" ht="15" customHeight="1">
      <c r="B16" s="4" t="s">
        <v>207</v>
      </c>
      <c r="C16" s="39" t="s">
        <v>70</v>
      </c>
      <c r="D16" s="49">
        <f>Cálculos!K49</f>
        <v>5.18</v>
      </c>
      <c r="E16" s="49">
        <f>Cálculos!M49</f>
        <v>6.5100000000000007</v>
      </c>
      <c r="F16" s="50">
        <v>6.5100000000000007</v>
      </c>
      <c r="G16" s="50">
        <v>6.51</v>
      </c>
      <c r="H16" s="50">
        <f t="shared" si="0"/>
        <v>0</v>
      </c>
    </row>
    <row r="17" spans="7:7" ht="15" customHeight="1">
      <c r="G17" s="50"/>
    </row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Props1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2.xml><?xml version="1.0" encoding="utf-8"?>
<ds:datastoreItem xmlns:ds="http://schemas.openxmlformats.org/officeDocument/2006/customXml" ds:itemID="{67A9B273-73B9-4750-B810-2AA247B9A57E}"/>
</file>

<file path=customXml/itemProps3.xml><?xml version="1.0" encoding="utf-8"?>
<ds:datastoreItem xmlns:ds="http://schemas.openxmlformats.org/officeDocument/2006/customXml" ds:itemID="{A747A923-C5C4-4012-86D5-9175F60351FA}"/>
</file>

<file path=customXml/itemProps4.xml><?xml version="1.0" encoding="utf-8"?>
<ds:datastoreItem xmlns:ds="http://schemas.openxmlformats.org/officeDocument/2006/customXml" ds:itemID="{612FA3E5-5313-4AB1-9623-C920AB81A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Resultados</vt:lpstr>
      <vt:lpstr>Resultados por Segmento</vt:lpstr>
      <vt:lpstr>Resultados Trim</vt:lpstr>
      <vt:lpstr>Resultados Trimestrales</vt:lpstr>
      <vt:lpstr>Estado de situación financiera</vt:lpstr>
      <vt:lpstr>Deuda Financiera</vt:lpstr>
      <vt:lpstr>Flujo de efectivo</vt:lpstr>
      <vt:lpstr>Indicadores</vt:lpstr>
      <vt:lpstr>Cálculos</vt:lpstr>
      <vt:lpstr>Balance</vt:lpstr>
      <vt:lpstr>Resultado</vt:lpstr>
      <vt:lpstr>Flujo</vt:lpstr>
      <vt:lpstr>Anualizados</vt:lpstr>
      <vt:lpstr>Valor acción</vt:lpstr>
      <vt:lpstr>'Resultados por Segmento'!_Hlk47472038</vt:lpstr>
      <vt:lpstr>Cálculos!Área_de_impresión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Mauricio Jose Bravo Arana</cp:lastModifiedBy>
  <cp:lastPrinted>2011-04-19T13:35:12Z</cp:lastPrinted>
  <dcterms:created xsi:type="dcterms:W3CDTF">2009-05-16T00:13:33Z</dcterms:created>
  <dcterms:modified xsi:type="dcterms:W3CDTF">2024-03-06T12:52:34Z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  <property fmtid="{D5CDD505-2E9C-101B-9397-08002B2CF9AE}" pid="6" name="ContentTypeId">
    <vt:lpwstr>0x010100287904A346C7DD4CB5D7CA632F15255C</vt:lpwstr>
  </property>
</Properties>
</file>