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21\Estados Financieros\1.Diciembre\Sitio Web\"/>
    </mc:Choice>
  </mc:AlternateContent>
  <xr:revisionPtr revIDLastSave="0" documentId="13_ncr:1_{496E7FE9-0009-41AC-9970-A649AD1B1B8D}" xr6:coauthVersionLast="46" xr6:coauthVersionMax="46" xr10:uidLastSave="{00000000-0000-0000-0000-000000000000}"/>
  <bookViews>
    <workbookView xWindow="-108" yWindow="-108" windowWidth="23256" windowHeight="12576" tabRatio="904" firstSheet="1" activeTab="7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  <sheet name="cálculos" sheetId="4" r:id="rId9"/>
    <sheet name="Balance" sheetId="11" r:id="rId10"/>
    <sheet name="Resultado" sheetId="12" r:id="rId11"/>
    <sheet name="Flujo" sheetId="13" r:id="rId12"/>
    <sheet name="Anualizados" sheetId="10" r:id="rId13"/>
    <sheet name="Valor acción" sheetId="28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Hlk47472038" localSheetId="2">'Resultados por Segmento'!$B$10</definedName>
    <definedName name="_xlnm.Print_Area" localSheetId="8">cálculos!$H$4:$L$50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3" l="1"/>
  <c r="D29" i="13"/>
  <c r="E28" i="13"/>
  <c r="D28" i="13"/>
  <c r="E27" i="13"/>
  <c r="D27" i="13"/>
  <c r="E26" i="13"/>
  <c r="D26" i="13"/>
  <c r="E25" i="13"/>
  <c r="D25" i="13"/>
  <c r="G10" i="24" l="1"/>
  <c r="G30" i="29"/>
  <c r="G29" i="29"/>
  <c r="G28" i="29"/>
  <c r="G27" i="29"/>
  <c r="G26" i="29"/>
  <c r="G25" i="29"/>
  <c r="G24" i="29"/>
  <c r="G23" i="29"/>
  <c r="G22" i="29"/>
  <c r="G21" i="29"/>
  <c r="G11" i="29"/>
  <c r="G12" i="29"/>
  <c r="H3" i="23"/>
  <c r="G3" i="23"/>
  <c r="F3" i="23"/>
  <c r="E3" i="23"/>
  <c r="G4" i="23" l="1"/>
  <c r="J8" i="23"/>
  <c r="J6" i="23"/>
  <c r="J5" i="23"/>
  <c r="J4" i="23"/>
  <c r="J3" i="23"/>
  <c r="M14" i="23"/>
  <c r="M23" i="23"/>
  <c r="M22" i="23"/>
  <c r="M21" i="23"/>
  <c r="M20" i="23"/>
  <c r="M19" i="23"/>
  <c r="M17" i="23"/>
  <c r="M16" i="23"/>
  <c r="E6" i="23"/>
  <c r="H4" i="23"/>
  <c r="F4" i="23"/>
  <c r="E4" i="23"/>
  <c r="H5" i="23"/>
  <c r="G5" i="23"/>
  <c r="F5" i="23"/>
  <c r="E5" i="23"/>
  <c r="B38" i="23"/>
  <c r="B39" i="23"/>
  <c r="B35" i="23"/>
  <c r="B36" i="23"/>
  <c r="B37" i="23"/>
  <c r="B34" i="23"/>
  <c r="E69" i="4"/>
  <c r="M24" i="23" l="1"/>
  <c r="M18" i="23"/>
  <c r="E26" i="12"/>
  <c r="D26" i="12"/>
  <c r="D58" i="13"/>
  <c r="E58" i="13"/>
  <c r="D16" i="13"/>
  <c r="E16" i="13"/>
  <c r="D17" i="13"/>
  <c r="E17" i="13"/>
  <c r="D11" i="13"/>
  <c r="E11" i="13"/>
  <c r="D12" i="13"/>
  <c r="E12" i="13"/>
  <c r="D13" i="13"/>
  <c r="E13" i="13"/>
  <c r="D14" i="13"/>
  <c r="E14" i="13"/>
  <c r="D5" i="13"/>
  <c r="E5" i="13"/>
  <c r="D6" i="13"/>
  <c r="E6" i="13"/>
  <c r="D7" i="13"/>
  <c r="E7" i="13"/>
  <c r="D8" i="13"/>
  <c r="E8" i="13"/>
  <c r="E73" i="13"/>
  <c r="D73" i="13"/>
  <c r="D51" i="13"/>
  <c r="E51" i="13"/>
  <c r="D52" i="13"/>
  <c r="E52" i="13"/>
  <c r="D53" i="13"/>
  <c r="E53" i="13"/>
  <c r="D54" i="13"/>
  <c r="E54" i="13"/>
  <c r="D30" i="13"/>
  <c r="E30" i="13"/>
  <c r="D31" i="13"/>
  <c r="E31" i="13"/>
  <c r="D32" i="13"/>
  <c r="E32" i="13"/>
  <c r="D33" i="13"/>
  <c r="E33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6" i="13"/>
  <c r="D56" i="13"/>
  <c r="E55" i="13"/>
  <c r="D55" i="13"/>
  <c r="E49" i="13"/>
  <c r="D49" i="13"/>
  <c r="E48" i="13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23" i="13"/>
  <c r="D23" i="13"/>
  <c r="D19" i="13"/>
  <c r="E19" i="13"/>
  <c r="D20" i="13"/>
  <c r="E20" i="13"/>
  <c r="D21" i="13"/>
  <c r="E21" i="13"/>
  <c r="E18" i="13"/>
  <c r="D18" i="13"/>
  <c r="E10" i="13"/>
  <c r="D10" i="13"/>
  <c r="E4" i="13"/>
  <c r="D4" i="13"/>
  <c r="E21" i="12"/>
  <c r="D21" i="12"/>
  <c r="E19" i="12"/>
  <c r="D19" i="12"/>
  <c r="E16" i="12"/>
  <c r="D16" i="12"/>
  <c r="E15" i="12"/>
  <c r="D15" i="12"/>
  <c r="E14" i="12"/>
  <c r="D14" i="12"/>
  <c r="E13" i="12"/>
  <c r="D13" i="12"/>
  <c r="D6" i="12"/>
  <c r="E6" i="12"/>
  <c r="D7" i="12"/>
  <c r="E7" i="12"/>
  <c r="D8" i="12"/>
  <c r="E8" i="12"/>
  <c r="D9" i="12"/>
  <c r="C10" i="18" s="1"/>
  <c r="E9" i="12"/>
  <c r="D10" i="18" s="1"/>
  <c r="D10" i="12"/>
  <c r="E10" i="12"/>
  <c r="D11" i="12"/>
  <c r="E11" i="12"/>
  <c r="E5" i="12"/>
  <c r="D5" i="12"/>
  <c r="E64" i="11"/>
  <c r="D64" i="11"/>
  <c r="D59" i="11"/>
  <c r="E59" i="11"/>
  <c r="D60" i="11"/>
  <c r="E60" i="11"/>
  <c r="D61" i="11"/>
  <c r="E61" i="11"/>
  <c r="D62" i="11"/>
  <c r="E62" i="11"/>
  <c r="E58" i="11"/>
  <c r="D58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3" i="11"/>
  <c r="D43" i="11"/>
  <c r="D35" i="11"/>
  <c r="E35" i="11"/>
  <c r="D36" i="11"/>
  <c r="E36" i="11"/>
  <c r="D37" i="11"/>
  <c r="E37" i="11"/>
  <c r="D38" i="11"/>
  <c r="E38" i="11"/>
  <c r="D39" i="11"/>
  <c r="E39" i="11"/>
  <c r="D40" i="11"/>
  <c r="E40" i="11"/>
  <c r="D41" i="11"/>
  <c r="E41" i="11"/>
  <c r="E34" i="11"/>
  <c r="D34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4" i="11"/>
  <c r="D7" i="8" s="1"/>
  <c r="D14" i="11"/>
  <c r="C7" i="8" s="1"/>
  <c r="G7" i="8" s="1"/>
  <c r="D7" i="11"/>
  <c r="E7" i="11"/>
  <c r="D8" i="11"/>
  <c r="E8" i="11"/>
  <c r="D9" i="11"/>
  <c r="E9" i="11"/>
  <c r="D10" i="11"/>
  <c r="E10" i="11"/>
  <c r="D11" i="11"/>
  <c r="E11" i="11"/>
  <c r="D12" i="11"/>
  <c r="E12" i="11"/>
  <c r="E6" i="11"/>
  <c r="D6" i="11"/>
  <c r="F10" i="18" l="1"/>
  <c r="D22" i="13"/>
  <c r="E22" i="13"/>
  <c r="E29" i="12"/>
  <c r="D29" i="12" l="1"/>
  <c r="G26" i="12" l="1"/>
  <c r="F26" i="12"/>
  <c r="G21" i="12" l="1"/>
  <c r="F21" i="12"/>
  <c r="G19" i="12"/>
  <c r="F19" i="12"/>
  <c r="G16" i="12"/>
  <c r="F16" i="12"/>
  <c r="G15" i="12"/>
  <c r="F15" i="12"/>
  <c r="G14" i="12"/>
  <c r="F14" i="12"/>
  <c r="G13" i="12"/>
  <c r="F13" i="12"/>
  <c r="G11" i="12"/>
  <c r="F11" i="12"/>
  <c r="G10" i="12"/>
  <c r="F10" i="12"/>
  <c r="G9" i="12"/>
  <c r="F9" i="12"/>
  <c r="G8" i="12"/>
  <c r="F8" i="12"/>
  <c r="C65" i="4"/>
  <c r="C62" i="4"/>
  <c r="E32" i="4" l="1"/>
  <c r="D32" i="4"/>
  <c r="H14" i="23" l="1"/>
  <c r="E3" i="15" l="1"/>
  <c r="D3" i="17"/>
  <c r="C3" i="17"/>
  <c r="H7" i="23" l="1"/>
  <c r="G7" i="23"/>
  <c r="F7" i="23"/>
  <c r="D6" i="23" l="1"/>
  <c r="D16" i="23" s="1"/>
  <c r="E7" i="23"/>
  <c r="K6" i="23" l="1"/>
  <c r="G14" i="29"/>
  <c r="C18" i="18"/>
  <c r="G29" i="12" l="1"/>
  <c r="F29" i="12"/>
  <c r="D13" i="18"/>
  <c r="C13" i="18"/>
  <c r="F6" i="12"/>
  <c r="G6" i="12"/>
  <c r="F7" i="12"/>
  <c r="G7" i="12"/>
  <c r="G5" i="12"/>
  <c r="F5" i="12"/>
  <c r="D12" i="12"/>
  <c r="E63" i="11" l="1"/>
  <c r="E65" i="11" s="1"/>
  <c r="G23" i="13"/>
  <c r="H23" i="13" s="1"/>
  <c r="F13" i="18"/>
  <c r="G13" i="24"/>
  <c r="E13" i="24" s="1"/>
  <c r="G49" i="13"/>
  <c r="H49" i="13" s="1"/>
  <c r="G67" i="13"/>
  <c r="H67" i="13" s="1"/>
  <c r="L21" i="12"/>
  <c r="M21" i="12" s="1"/>
  <c r="C66" i="4"/>
  <c r="D66" i="4"/>
  <c r="I21" i="12"/>
  <c r="J21" i="12" s="1"/>
  <c r="D50" i="13"/>
  <c r="E50" i="13"/>
  <c r="D44" i="18" l="1"/>
  <c r="C44" i="18"/>
  <c r="G35" i="18" l="1"/>
  <c r="E35" i="18" s="1"/>
  <c r="G34" i="18"/>
  <c r="E34" i="18" s="1"/>
  <c r="G31" i="18"/>
  <c r="E31" i="18" s="1"/>
  <c r="G30" i="18"/>
  <c r="E30" i="18" s="1"/>
  <c r="G29" i="18"/>
  <c r="E29" i="18" s="1"/>
  <c r="G28" i="18"/>
  <c r="E28" i="18" s="1"/>
  <c r="D12" i="18" l="1"/>
  <c r="C12" i="18"/>
  <c r="D11" i="18"/>
  <c r="C11" i="18"/>
  <c r="D9" i="18"/>
  <c r="C9" i="18"/>
  <c r="D7" i="18"/>
  <c r="C7" i="18"/>
  <c r="D5" i="18"/>
  <c r="C5" i="18"/>
  <c r="D4" i="18"/>
  <c r="C4" i="18"/>
  <c r="G12" i="12"/>
  <c r="G18" i="12" s="1"/>
  <c r="D6" i="18" l="1"/>
  <c r="D8" i="18" s="1"/>
  <c r="C6" i="18"/>
  <c r="C8" i="18" s="1"/>
  <c r="E12" i="12"/>
  <c r="F12" i="12"/>
  <c r="F18" i="12" s="1"/>
  <c r="C25" i="18"/>
  <c r="D21" i="18" s="1"/>
  <c r="F25" i="18"/>
  <c r="G22" i="18" l="1"/>
  <c r="G23" i="18"/>
  <c r="G21" i="18"/>
  <c r="G24" i="18"/>
  <c r="D22" i="18"/>
  <c r="D24" i="18"/>
  <c r="D23" i="18"/>
  <c r="C26" i="18"/>
  <c r="E54" i="11"/>
  <c r="E26" i="11"/>
  <c r="E3" i="11"/>
  <c r="G25" i="18" l="1"/>
  <c r="D25" i="18"/>
  <c r="F4" i="18"/>
  <c r="E4" i="18" s="1"/>
  <c r="F5" i="18"/>
  <c r="E5" i="18" s="1"/>
  <c r="F7" i="18"/>
  <c r="E7" i="18" s="1"/>
  <c r="F9" i="18"/>
  <c r="E9" i="18" s="1"/>
  <c r="F11" i="18"/>
  <c r="E11" i="18" s="1"/>
  <c r="F12" i="18"/>
  <c r="E12" i="18" s="1"/>
  <c r="F6" i="18" l="1"/>
  <c r="E6" i="18" s="1"/>
  <c r="F8" i="18"/>
  <c r="E8" i="18" s="1"/>
  <c r="F13" i="4" l="1"/>
  <c r="F12" i="4"/>
  <c r="F11" i="4"/>
  <c r="F10" i="4"/>
  <c r="F7" i="4"/>
  <c r="F6" i="4"/>
  <c r="L50" i="4" l="1"/>
  <c r="D45" i="4"/>
  <c r="D44" i="4"/>
  <c r="E61" i="4" l="1"/>
  <c r="F18" i="4"/>
  <c r="E56" i="4"/>
  <c r="F31" i="4"/>
  <c r="E64" i="4" l="1"/>
  <c r="F20" i="4" s="1"/>
  <c r="E68" i="4"/>
  <c r="E18" i="12"/>
  <c r="D18" i="12"/>
  <c r="H17" i="13" l="1"/>
  <c r="H16" i="13"/>
  <c r="G14" i="8" l="1"/>
  <c r="G10" i="8"/>
  <c r="H14" i="11" l="1"/>
  <c r="H8" i="23" l="1"/>
  <c r="H9" i="23" s="1"/>
  <c r="H10" i="23" s="1"/>
  <c r="G8" i="23"/>
  <c r="G9" i="23" s="1"/>
  <c r="G10" i="23" s="1"/>
  <c r="E8" i="23"/>
  <c r="E9" i="23" s="1"/>
  <c r="E10" i="23" s="1"/>
  <c r="F8" i="23" l="1"/>
  <c r="F9" i="23" s="1"/>
  <c r="F10" i="23" s="1"/>
  <c r="C64" i="11" l="1"/>
  <c r="C63" i="11"/>
  <c r="C61" i="11"/>
  <c r="C60" i="11"/>
  <c r="C59" i="11"/>
  <c r="C58" i="11"/>
  <c r="C53" i="11"/>
  <c r="C52" i="11"/>
  <c r="C51" i="11"/>
  <c r="C50" i="11"/>
  <c r="C48" i="11"/>
  <c r="C46" i="11"/>
  <c r="C41" i="11"/>
  <c r="C40" i="11"/>
  <c r="C39" i="11"/>
  <c r="C38" i="11"/>
  <c r="C37" i="11"/>
  <c r="C36" i="11"/>
  <c r="C34" i="11"/>
  <c r="C25" i="11"/>
  <c r="C23" i="11"/>
  <c r="C22" i="11"/>
  <c r="C21" i="11"/>
  <c r="C19" i="11"/>
  <c r="C18" i="11"/>
  <c r="C17" i="11"/>
  <c r="C14" i="11"/>
  <c r="C12" i="11"/>
  <c r="D49" i="4" l="1"/>
  <c r="E15" i="13"/>
  <c r="D15" i="13"/>
  <c r="E9" i="13"/>
  <c r="D9" i="13"/>
  <c r="D2" i="13"/>
  <c r="E2" i="13"/>
  <c r="E57" i="13"/>
  <c r="E68" i="13" s="1"/>
  <c r="D70" i="13"/>
  <c r="E70" i="13"/>
  <c r="D71" i="13"/>
  <c r="E71" i="13"/>
  <c r="I10" i="12"/>
  <c r="J10" i="12" s="1"/>
  <c r="I11" i="12"/>
  <c r="J11" i="12" s="1"/>
  <c r="I14" i="12"/>
  <c r="J14" i="12" s="1"/>
  <c r="I15" i="12"/>
  <c r="J15" i="12" s="1"/>
  <c r="I16" i="12"/>
  <c r="J16" i="12" s="1"/>
  <c r="C13" i="12"/>
  <c r="C14" i="12" s="1"/>
  <c r="C7" i="12"/>
  <c r="E31" i="11"/>
  <c r="D31" i="11"/>
  <c r="E42" i="11"/>
  <c r="E13" i="11"/>
  <c r="E15" i="11" l="1"/>
  <c r="D6" i="8"/>
  <c r="D11" i="8"/>
  <c r="E44" i="11"/>
  <c r="E56" i="11" s="1"/>
  <c r="E67" i="11" s="1"/>
  <c r="E24" i="13"/>
  <c r="D24" i="13"/>
  <c r="D57" i="13"/>
  <c r="D68" i="13" s="1"/>
  <c r="I13" i="12"/>
  <c r="J13" i="12" s="1"/>
  <c r="E28" i="11"/>
  <c r="E72" i="13" l="1"/>
  <c r="E74" i="13" s="1"/>
  <c r="D72" i="13"/>
  <c r="D74" i="13" s="1"/>
  <c r="D4" i="23" l="1"/>
  <c r="D5" i="23"/>
  <c r="D34" i="23" s="1"/>
  <c r="E27" i="4"/>
  <c r="D15" i="23" l="1"/>
  <c r="K5" i="23"/>
  <c r="D6" i="24" l="1"/>
  <c r="D8" i="24" s="1"/>
  <c r="C6" i="24"/>
  <c r="C8" i="24" s="1"/>
  <c r="I21" i="18"/>
  <c r="J21" i="18" s="1"/>
  <c r="I22" i="18"/>
  <c r="J22" i="18" s="1"/>
  <c r="I23" i="18"/>
  <c r="J23" i="18" s="1"/>
  <c r="I24" i="18"/>
  <c r="J24" i="18" s="1"/>
  <c r="I25" i="18" l="1"/>
  <c r="G5" i="13"/>
  <c r="G6" i="13" l="1"/>
  <c r="D3" i="23" l="1"/>
  <c r="D7" i="23" s="1"/>
  <c r="K4" i="23"/>
  <c r="D8" i="23"/>
  <c r="D9" i="23" s="1"/>
  <c r="D10" i="23" l="1"/>
  <c r="C16" i="23" s="1"/>
  <c r="D17" i="23"/>
  <c r="C17" i="23" s="1"/>
  <c r="K3" i="23"/>
  <c r="K8" i="23"/>
  <c r="H13" i="23" l="1"/>
  <c r="B40" i="23"/>
  <c r="C38" i="23" s="1"/>
  <c r="C15" i="23"/>
  <c r="F40" i="18"/>
  <c r="E40" i="18" s="1"/>
  <c r="F41" i="18"/>
  <c r="E41" i="18" s="1"/>
  <c r="F42" i="18"/>
  <c r="E42" i="18" s="1"/>
  <c r="F43" i="18"/>
  <c r="E43" i="18" s="1"/>
  <c r="C39" i="23" l="1"/>
  <c r="C35" i="23"/>
  <c r="C36" i="23"/>
  <c r="C34" i="23"/>
  <c r="C37" i="23"/>
  <c r="G30" i="12"/>
  <c r="F30" i="12"/>
  <c r="E30" i="12"/>
  <c r="G20" i="12"/>
  <c r="C43" i="23" l="1"/>
  <c r="C46" i="23"/>
  <c r="C49" i="23"/>
  <c r="C44" i="23"/>
  <c r="C47" i="23"/>
  <c r="C48" i="23"/>
  <c r="G23" i="12"/>
  <c r="G25" i="12" s="1"/>
  <c r="C40" i="23"/>
  <c r="D30" i="12"/>
  <c r="E20" i="12"/>
  <c r="D20" i="12"/>
  <c r="D23" i="12" s="1"/>
  <c r="D25" i="12" s="1"/>
  <c r="G27" i="12" l="1"/>
  <c r="E23" i="12"/>
  <c r="E25" i="12" s="1"/>
  <c r="C50" i="23"/>
  <c r="C45" i="23"/>
  <c r="F44" i="18"/>
  <c r="E39" i="18"/>
  <c r="D14" i="18" l="1"/>
  <c r="E27" i="12"/>
  <c r="D27" i="12"/>
  <c r="C14" i="18"/>
  <c r="G3" i="29"/>
  <c r="D3" i="29"/>
  <c r="D20" i="29" s="1"/>
  <c r="C3" i="29"/>
  <c r="C20" i="29" s="1"/>
  <c r="F14" i="18" l="1"/>
  <c r="E14" i="18" s="1"/>
  <c r="G20" i="29"/>
  <c r="G9" i="24" l="1"/>
  <c r="E9" i="24" s="1"/>
  <c r="G11" i="24"/>
  <c r="E11" i="24" s="1"/>
  <c r="G12" i="24"/>
  <c r="E12" i="24" s="1"/>
  <c r="G9" i="29" l="1"/>
  <c r="G13" i="29"/>
  <c r="G10" i="29"/>
  <c r="G8" i="29"/>
  <c r="G7" i="29"/>
  <c r="G6" i="29"/>
  <c r="G5" i="29"/>
  <c r="G4" i="29"/>
  <c r="G15" i="29" l="1"/>
  <c r="E76" i="13"/>
  <c r="I9" i="12"/>
  <c r="L9" i="12" l="1"/>
  <c r="M9" i="12" s="1"/>
  <c r="J9" i="12"/>
  <c r="D67" i="4"/>
  <c r="C67" i="4"/>
  <c r="D65" i="4"/>
  <c r="E24" i="4" s="1"/>
  <c r="D24" i="4"/>
  <c r="J27" i="4" s="1"/>
  <c r="P50" i="4"/>
  <c r="D62" i="4"/>
  <c r="D60" i="4"/>
  <c r="C60" i="4"/>
  <c r="D59" i="4"/>
  <c r="C59" i="4"/>
  <c r="D58" i="4"/>
  <c r="E21" i="4" s="1"/>
  <c r="C58" i="4"/>
  <c r="D21" i="4" s="1"/>
  <c r="J28" i="4" s="1"/>
  <c r="D57" i="4"/>
  <c r="C57" i="4"/>
  <c r="D55" i="4"/>
  <c r="C55" i="4"/>
  <c r="D54" i="4"/>
  <c r="C54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D46" i="4"/>
  <c r="L49" i="4" s="1"/>
  <c r="M49" i="4" s="1"/>
  <c r="C46" i="4"/>
  <c r="J49" i="4" s="1"/>
  <c r="L39" i="4"/>
  <c r="L42" i="4" s="1"/>
  <c r="D30" i="4"/>
  <c r="D29" i="4"/>
  <c r="D28" i="4"/>
  <c r="D27" i="4"/>
  <c r="F33" i="4"/>
  <c r="L10" i="4" s="1"/>
  <c r="P33" i="4"/>
  <c r="E30" i="4"/>
  <c r="E29" i="4"/>
  <c r="E28" i="4"/>
  <c r="L30" i="4"/>
  <c r="F27" i="4"/>
  <c r="E49" i="4" s="1"/>
  <c r="L24" i="4"/>
  <c r="F25" i="4"/>
  <c r="L29" i="4" s="1"/>
  <c r="F24" i="4"/>
  <c r="L27" i="4" s="1"/>
  <c r="F23" i="4"/>
  <c r="L26" i="4" s="1"/>
  <c r="F21" i="4"/>
  <c r="L28" i="4" s="1"/>
  <c r="F19" i="4"/>
  <c r="D16" i="4"/>
  <c r="C49" i="4" s="1"/>
  <c r="F14" i="4"/>
  <c r="E13" i="4"/>
  <c r="E12" i="4"/>
  <c r="E11" i="4"/>
  <c r="L20" i="4" s="1"/>
  <c r="E10" i="4"/>
  <c r="L11" i="4" s="1"/>
  <c r="F8" i="4"/>
  <c r="E7" i="4"/>
  <c r="E6" i="4"/>
  <c r="L7" i="4" s="1"/>
  <c r="L4" i="4"/>
  <c r="J4" i="4"/>
  <c r="L40" i="4" l="1"/>
  <c r="D35" i="4"/>
  <c r="J30" i="4"/>
  <c r="C61" i="4"/>
  <c r="D18" i="4"/>
  <c r="J35" i="4" s="1"/>
  <c r="C56" i="4"/>
  <c r="E18" i="4"/>
  <c r="L35" i="4" s="1"/>
  <c r="M10" i="4"/>
  <c r="F34" i="4"/>
  <c r="L15" i="4"/>
  <c r="F15" i="4"/>
  <c r="E31" i="4"/>
  <c r="E33" i="4" s="1"/>
  <c r="E34" i="4" s="1"/>
  <c r="L32" i="4"/>
  <c r="E22" i="4" s="1"/>
  <c r="L45" i="4"/>
  <c r="M45" i="4" s="1"/>
  <c r="L23" i="4"/>
  <c r="M23" i="4" s="1"/>
  <c r="D31" i="4"/>
  <c r="D33" i="4" s="1"/>
  <c r="J10" i="4" s="1"/>
  <c r="D61" i="4"/>
  <c r="D56" i="4"/>
  <c r="E8" i="4"/>
  <c r="D36" i="4" s="1"/>
  <c r="K49" i="4"/>
  <c r="O49" i="4" s="1"/>
  <c r="P49" i="4"/>
  <c r="L14" i="4"/>
  <c r="M14" i="4" s="1"/>
  <c r="L8" i="4"/>
  <c r="M7" i="4" s="1"/>
  <c r="D19" i="4"/>
  <c r="L18" i="4"/>
  <c r="E19" i="4"/>
  <c r="L17" i="4"/>
  <c r="E14" i="4"/>
  <c r="P35" i="4" l="1"/>
  <c r="C64" i="4"/>
  <c r="L43" i="4"/>
  <c r="M42" i="4" s="1"/>
  <c r="M39" i="4"/>
  <c r="M17" i="4"/>
  <c r="D64" i="4"/>
  <c r="E15" i="4"/>
  <c r="L21" i="4"/>
  <c r="M20" i="4" s="1"/>
  <c r="Q10" i="4"/>
  <c r="P10" i="4"/>
  <c r="E20" i="4" l="1"/>
  <c r="C11" i="10" s="1"/>
  <c r="D68" i="4"/>
  <c r="D69" i="4" s="1"/>
  <c r="E23" i="4" s="1"/>
  <c r="D20" i="4"/>
  <c r="C12" i="10" s="1"/>
  <c r="C68" i="4"/>
  <c r="C69" i="4" s="1"/>
  <c r="D23" i="4" l="1"/>
  <c r="J26" i="4" s="1"/>
  <c r="J32" i="4" s="1"/>
  <c r="D22" i="4" s="1"/>
  <c r="G74" i="13"/>
  <c r="H74" i="13" s="1"/>
  <c r="G73" i="13"/>
  <c r="H73" i="13" s="1"/>
  <c r="G72" i="13"/>
  <c r="H72" i="13" s="1"/>
  <c r="G71" i="13"/>
  <c r="H71" i="13" s="1"/>
  <c r="G70" i="13"/>
  <c r="H70" i="13" s="1"/>
  <c r="G69" i="13"/>
  <c r="H69" i="13" s="1"/>
  <c r="G68" i="13"/>
  <c r="H68" i="13" s="1"/>
  <c r="G66" i="13"/>
  <c r="H66" i="13" s="1"/>
  <c r="G65" i="13"/>
  <c r="H65" i="13" s="1"/>
  <c r="G64" i="13"/>
  <c r="H64" i="13" s="1"/>
  <c r="G63" i="13"/>
  <c r="H63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2" i="13"/>
  <c r="H22" i="13" s="1"/>
  <c r="G21" i="13"/>
  <c r="H21" i="13" s="1"/>
  <c r="G20" i="13"/>
  <c r="H20" i="13" s="1"/>
  <c r="G19" i="13"/>
  <c r="H19" i="13" s="1"/>
  <c r="G18" i="13"/>
  <c r="H18" i="13" s="1"/>
  <c r="G15" i="13"/>
  <c r="H15" i="13" s="1"/>
  <c r="G14" i="13"/>
  <c r="H14" i="13" s="1"/>
  <c r="G13" i="13"/>
  <c r="H13" i="13" s="1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4" i="13"/>
  <c r="H4" i="13" s="1"/>
  <c r="I26" i="12"/>
  <c r="J26" i="12" s="1"/>
  <c r="I19" i="12"/>
  <c r="J19" i="12" s="1"/>
  <c r="I8" i="12"/>
  <c r="J8" i="12" s="1"/>
  <c r="I7" i="12"/>
  <c r="J7" i="12" s="1"/>
  <c r="I6" i="12"/>
  <c r="J6" i="12" s="1"/>
  <c r="I5" i="12"/>
  <c r="D16" i="8"/>
  <c r="D15" i="8"/>
  <c r="D12" i="8"/>
  <c r="D13" i="8" s="1"/>
  <c r="D8" i="8"/>
  <c r="D9" i="8" s="1"/>
  <c r="F20" i="12" l="1"/>
  <c r="J5" i="12"/>
  <c r="M32" i="4"/>
  <c r="F22" i="4" s="1"/>
  <c r="G7" i="24"/>
  <c r="E7" i="24" s="1"/>
  <c r="L8" i="12"/>
  <c r="M8" i="12" s="1"/>
  <c r="L26" i="12"/>
  <c r="M26" i="12" s="1"/>
  <c r="L6" i="12"/>
  <c r="M6" i="12" s="1"/>
  <c r="L19" i="12"/>
  <c r="M19" i="12" s="1"/>
  <c r="L14" i="12"/>
  <c r="M14" i="12" s="1"/>
  <c r="L15" i="12"/>
  <c r="M15" i="12" s="1"/>
  <c r="L11" i="12"/>
  <c r="M11" i="12" s="1"/>
  <c r="L13" i="12"/>
  <c r="M13" i="12" s="1"/>
  <c r="L5" i="12"/>
  <c r="M5" i="12" s="1"/>
  <c r="L10" i="12"/>
  <c r="M10" i="12" s="1"/>
  <c r="F23" i="12" l="1"/>
  <c r="F25" i="12" s="1"/>
  <c r="L20" i="12"/>
  <c r="M20" i="12" s="1"/>
  <c r="G5" i="24"/>
  <c r="E5" i="24" s="1"/>
  <c r="L7" i="12"/>
  <c r="M7" i="12" s="1"/>
  <c r="L16" i="12"/>
  <c r="M16" i="12" s="1"/>
  <c r="G14" i="24" l="1"/>
  <c r="E14" i="24" s="1"/>
  <c r="F27" i="12"/>
  <c r="L27" i="12" s="1"/>
  <c r="M27" i="12" s="1"/>
  <c r="L23" i="12"/>
  <c r="M23" i="12" s="1"/>
  <c r="G8" i="24"/>
  <c r="E8" i="24" s="1"/>
  <c r="G6" i="24"/>
  <c r="E6" i="24" s="1"/>
  <c r="D6" i="17"/>
  <c r="C6" i="17"/>
  <c r="D5" i="17"/>
  <c r="C5" i="17"/>
  <c r="C3" i="8"/>
  <c r="D27" i="18"/>
  <c r="C27" i="18"/>
  <c r="F18" i="18"/>
  <c r="C23" i="8" l="1"/>
  <c r="D3" i="15"/>
  <c r="G6" i="17"/>
  <c r="G5" i="17"/>
  <c r="C8" i="17"/>
  <c r="C4" i="17"/>
  <c r="D8" i="17"/>
  <c r="D4" i="17"/>
  <c r="E8" i="17" l="1"/>
  <c r="G4" i="17"/>
  <c r="G8" i="17"/>
  <c r="D33" i="18"/>
  <c r="D39" i="18" s="1"/>
  <c r="C33" i="18"/>
  <c r="C39" i="18" s="1"/>
  <c r="I18" i="12"/>
  <c r="L18" i="12" l="1"/>
  <c r="M18" i="12" s="1"/>
  <c r="J18" i="12"/>
  <c r="I20" i="12"/>
  <c r="J20" i="12" s="1"/>
  <c r="G44" i="18"/>
  <c r="G4" i="24"/>
  <c r="E4" i="24" s="1"/>
  <c r="D13" i="23"/>
  <c r="C13" i="23" l="1"/>
  <c r="J25" i="18"/>
  <c r="F26" i="18"/>
  <c r="E44" i="18"/>
  <c r="I23" i="12"/>
  <c r="J23" i="12" s="1"/>
  <c r="D7" i="17"/>
  <c r="I25" i="12" l="1"/>
  <c r="J25" i="12" s="1"/>
  <c r="I27" i="12"/>
  <c r="J27" i="12" s="1"/>
  <c r="L25" i="12" l="1"/>
  <c r="M25" i="12" s="1"/>
  <c r="B19" i="10"/>
  <c r="B18" i="10"/>
  <c r="B17" i="10"/>
  <c r="B13" i="10"/>
  <c r="B20" i="10" s="1"/>
  <c r="B12" i="10"/>
  <c r="B11" i="10"/>
  <c r="B10" i="10"/>
  <c r="D17" i="8" l="1"/>
  <c r="D18" i="8" l="1"/>
  <c r="D20" i="8" l="1"/>
  <c r="D14" i="23"/>
  <c r="B17" i="23"/>
  <c r="B14" i="23"/>
  <c r="B13" i="23"/>
  <c r="C14" i="23" l="1"/>
  <c r="C18" i="23" s="1"/>
  <c r="G13" i="23"/>
  <c r="E6" i="17" l="1"/>
  <c r="G14" i="23"/>
  <c r="E4" i="17"/>
  <c r="E5" i="17"/>
  <c r="C7" i="17"/>
  <c r="G7" i="17" s="1"/>
  <c r="D16" i="15"/>
  <c r="G15" i="23" l="1"/>
  <c r="E16" i="15"/>
  <c r="E10" i="15"/>
  <c r="E5" i="15"/>
  <c r="E8" i="15" l="1"/>
  <c r="E9" i="15" l="1"/>
  <c r="E6" i="15"/>
  <c r="E11" i="15" l="1"/>
  <c r="E15" i="15"/>
  <c r="E13" i="15" l="1"/>
  <c r="E14" i="15" l="1"/>
  <c r="C3" i="10" l="1"/>
  <c r="C17" i="10" l="1"/>
  <c r="C18" i="10" l="1"/>
  <c r="C19" i="10"/>
  <c r="C4" i="10" l="1"/>
  <c r="C20" i="10"/>
  <c r="J24" i="4" s="1"/>
  <c r="Q24" i="4" l="1"/>
  <c r="P24" i="4"/>
  <c r="C10" i="10"/>
  <c r="C13" i="10" s="1"/>
  <c r="J23" i="4" s="1"/>
  <c r="K23" i="4" l="1"/>
  <c r="C5" i="10"/>
  <c r="C6" i="10" s="1"/>
  <c r="J39" i="4" s="1"/>
  <c r="P23" i="4" l="1"/>
  <c r="O23" i="4"/>
  <c r="Q23" i="4"/>
  <c r="P39" i="4" l="1"/>
  <c r="Q39" i="4"/>
  <c r="J42" i="4"/>
  <c r="D11" i="15"/>
  <c r="Q42" i="4" l="1"/>
  <c r="J45" i="4"/>
  <c r="K45" i="4" s="1"/>
  <c r="O45" i="4" s="1"/>
  <c r="P42" i="4"/>
  <c r="P45" i="4" l="1"/>
  <c r="D15" i="15"/>
  <c r="E69" i="11" l="1"/>
  <c r="G59" i="11" l="1"/>
  <c r="H59" i="11" s="1"/>
  <c r="G60" i="11" l="1"/>
  <c r="H60" i="11" s="1"/>
  <c r="G52" i="11"/>
  <c r="H52" i="11" s="1"/>
  <c r="G50" i="11"/>
  <c r="H50" i="11" s="1"/>
  <c r="G49" i="11"/>
  <c r="H49" i="11" s="1"/>
  <c r="G40" i="11"/>
  <c r="H40" i="11" s="1"/>
  <c r="G39" i="11"/>
  <c r="H39" i="11" s="1"/>
  <c r="G38" i="11"/>
  <c r="H38" i="11" s="1"/>
  <c r="G37" i="11"/>
  <c r="H37" i="11" s="1"/>
  <c r="G36" i="11"/>
  <c r="H36" i="11" s="1"/>
  <c r="G18" i="11"/>
  <c r="H18" i="11" s="1"/>
  <c r="G12" i="11"/>
  <c r="H12" i="11" s="1"/>
  <c r="G8" i="11"/>
  <c r="H8" i="11" s="1"/>
  <c r="G7" i="11"/>
  <c r="H7" i="11" s="1"/>
  <c r="G9" i="11" l="1"/>
  <c r="H9" i="11" s="1"/>
  <c r="G24" i="11"/>
  <c r="H24" i="11" s="1"/>
  <c r="G48" i="11"/>
  <c r="H48" i="11" s="1"/>
  <c r="G6" i="11"/>
  <c r="H6" i="11" s="1"/>
  <c r="D34" i="4"/>
  <c r="D76" i="13"/>
  <c r="G10" i="11"/>
  <c r="H10" i="11" s="1"/>
  <c r="G21" i="11"/>
  <c r="H21" i="11" s="1"/>
  <c r="G25" i="11"/>
  <c r="H25" i="11" s="1"/>
  <c r="G43" i="11"/>
  <c r="H43" i="11" s="1"/>
  <c r="G58" i="11"/>
  <c r="H58" i="11" s="1"/>
  <c r="G11" i="11"/>
  <c r="H11" i="11" s="1"/>
  <c r="G22" i="11"/>
  <c r="H22" i="11" s="1"/>
  <c r="G35" i="11"/>
  <c r="H35" i="11" s="1"/>
  <c r="G41" i="11"/>
  <c r="H41" i="11" s="1"/>
  <c r="G19" i="11"/>
  <c r="H19" i="11" s="1"/>
  <c r="G23" i="11"/>
  <c r="H23" i="11" s="1"/>
  <c r="G47" i="11"/>
  <c r="H47" i="11" s="1"/>
  <c r="G51" i="11"/>
  <c r="H51" i="11" s="1"/>
  <c r="D12" i="4"/>
  <c r="G64" i="11"/>
  <c r="H64" i="11" s="1"/>
  <c r="C16" i="8"/>
  <c r="G46" i="11" l="1"/>
  <c r="H46" i="11" s="1"/>
  <c r="D26" i="11"/>
  <c r="G17" i="11"/>
  <c r="H17" i="11" s="1"/>
  <c r="G53" i="11"/>
  <c r="H53" i="11" s="1"/>
  <c r="D13" i="11"/>
  <c r="C6" i="8" s="1"/>
  <c r="G16" i="8"/>
  <c r="E16" i="8"/>
  <c r="D54" i="11" l="1"/>
  <c r="C12" i="8" s="1"/>
  <c r="D42" i="11"/>
  <c r="G34" i="11"/>
  <c r="H34" i="11" s="1"/>
  <c r="D15" i="11"/>
  <c r="G13" i="11"/>
  <c r="H13" i="11" s="1"/>
  <c r="G61" i="11"/>
  <c r="H61" i="11" s="1"/>
  <c r="D63" i="11"/>
  <c r="D7" i="4"/>
  <c r="G26" i="11"/>
  <c r="H26" i="11" s="1"/>
  <c r="C8" i="8"/>
  <c r="C9" i="8" s="1"/>
  <c r="D11" i="4" l="1"/>
  <c r="J20" i="4" s="1"/>
  <c r="G54" i="11"/>
  <c r="H54" i="11" s="1"/>
  <c r="G12" i="8"/>
  <c r="E12" i="8"/>
  <c r="D65" i="11"/>
  <c r="D13" i="4"/>
  <c r="J40" i="4" s="1"/>
  <c r="C15" i="8"/>
  <c r="G63" i="11"/>
  <c r="H63" i="11" s="1"/>
  <c r="G6" i="8"/>
  <c r="E6" i="8"/>
  <c r="D28" i="11"/>
  <c r="G28" i="11" s="1"/>
  <c r="H28" i="11" s="1"/>
  <c r="D6" i="4"/>
  <c r="G15" i="11"/>
  <c r="H15" i="11" s="1"/>
  <c r="P20" i="4"/>
  <c r="Q20" i="4"/>
  <c r="G8" i="8"/>
  <c r="E8" i="8"/>
  <c r="D44" i="11"/>
  <c r="C11" i="8"/>
  <c r="C13" i="8" s="1"/>
  <c r="G42" i="11"/>
  <c r="H42" i="11" s="1"/>
  <c r="J7" i="4" l="1"/>
  <c r="D8" i="4"/>
  <c r="G65" i="11"/>
  <c r="H65" i="11" s="1"/>
  <c r="G11" i="8"/>
  <c r="E11" i="8"/>
  <c r="G9" i="8"/>
  <c r="E9" i="8"/>
  <c r="D56" i="11"/>
  <c r="G56" i="11" s="1"/>
  <c r="H56" i="11" s="1"/>
  <c r="D10" i="4"/>
  <c r="J14" i="4" s="1"/>
  <c r="G44" i="11"/>
  <c r="H44" i="11" s="1"/>
  <c r="G15" i="8"/>
  <c r="E15" i="8"/>
  <c r="C17" i="8"/>
  <c r="J15" i="4"/>
  <c r="D67" i="11" l="1"/>
  <c r="D69" i="11" s="1"/>
  <c r="J8" i="4"/>
  <c r="D14" i="4"/>
  <c r="D15" i="4" s="1"/>
  <c r="J11" i="4"/>
  <c r="J17" i="4"/>
  <c r="J18" i="4"/>
  <c r="J43" i="4"/>
  <c r="P40" i="4"/>
  <c r="Q40" i="4"/>
  <c r="K39" i="4"/>
  <c r="C18" i="8"/>
  <c r="E17" i="8"/>
  <c r="G17" i="8"/>
  <c r="G13" i="8"/>
  <c r="E13" i="8"/>
  <c r="Q15" i="4"/>
  <c r="P15" i="4"/>
  <c r="K7" i="4"/>
  <c r="Q7" i="4"/>
  <c r="P7" i="4"/>
  <c r="G67" i="11" l="1"/>
  <c r="H67" i="11" s="1"/>
  <c r="P43" i="4"/>
  <c r="Q43" i="4"/>
  <c r="K42" i="4"/>
  <c r="Q14" i="4"/>
  <c r="K14" i="4"/>
  <c r="P14" i="4"/>
  <c r="J21" i="4"/>
  <c r="Q18" i="4"/>
  <c r="P18" i="4"/>
  <c r="E18" i="8"/>
  <c r="G18" i="8"/>
  <c r="C20" i="8"/>
  <c r="D13" i="15"/>
  <c r="O39" i="4"/>
  <c r="K10" i="4"/>
  <c r="P11" i="4"/>
  <c r="Q11" i="4"/>
  <c r="O7" i="4"/>
  <c r="D5" i="15"/>
  <c r="Q17" i="4"/>
  <c r="K17" i="4"/>
  <c r="P17" i="4"/>
  <c r="Q8" i="4"/>
  <c r="P8" i="4"/>
  <c r="P21" i="4" l="1"/>
  <c r="Q21" i="4"/>
  <c r="K20" i="4"/>
  <c r="O10" i="4"/>
  <c r="D6" i="15"/>
  <c r="O42" i="4"/>
  <c r="D14" i="15"/>
  <c r="O17" i="4"/>
  <c r="D9" i="15"/>
  <c r="O14" i="4"/>
  <c r="D8" i="15"/>
  <c r="O20" i="4" l="1"/>
  <c r="D10" i="15"/>
</calcChain>
</file>

<file path=xl/sharedStrings.xml><?xml version="1.0" encoding="utf-8"?>
<sst xmlns="http://schemas.openxmlformats.org/spreadsheetml/2006/main" count="562" uniqueCount="394">
  <si>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</si>
  <si>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</si>
  <si>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</si>
  <si>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</si>
  <si>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</si>
  <si>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</si>
  <si>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</si>
  <si>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</si>
  <si>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</si>
  <si>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</si>
  <si>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</si>
  <si>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</si>
  <si>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</si>
  <si>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</si>
  <si>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</si>
  <si>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</si>
  <si>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</si>
  <si>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</si>
  <si>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</si>
  <si>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</si>
  <si>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</si>
  <si>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</si>
  <si>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</si>
  <si>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</si>
  <si>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</si>
  <si>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</si>
  <si>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</si>
  <si>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</si>
  <si>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</si>
  <si>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</si>
  <si>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</si>
  <si>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</si>
  <si>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</si>
  <si>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</si>
  <si>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</si>
  <si>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</si>
  <si>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</si>
  <si>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</si>
  <si>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</si>
  <si>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</si>
  <si>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</si>
  <si>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</si>
  <si>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</si>
  <si>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</si>
  <si>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</si>
  <si>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</si>
  <si>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</si>
  <si>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</si>
  <si>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</si>
  <si>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</si>
  <si>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</si>
  <si>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</si>
  <si>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</si>
  <si>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</si>
  <si>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</si>
  <si>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</si>
  <si>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</si>
  <si>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</si>
  <si>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</si>
  <si>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</si>
  <si>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%</t>
  </si>
  <si>
    <t>$</t>
  </si>
  <si>
    <t>FLUJO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</si>
  <si>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</si>
  <si>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</si>
  <si>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</si>
  <si>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</si>
  <si>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</si>
  <si>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</si>
  <si>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</si>
  <si>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</si>
  <si>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</si>
  <si>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</si>
  <si>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</si>
  <si>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</si>
  <si>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</si>
  <si>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</si>
  <si>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</si>
  <si>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</si>
  <si>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</si>
  <si>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</si>
  <si>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</si>
  <si>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</si>
  <si>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</si>
  <si>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</si>
  <si>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</si>
  <si>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</si>
  <si>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</si>
  <si>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</si>
  <si>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</si>
  <si>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Acum Junio 2010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</si>
  <si>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</si>
  <si>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</si>
  <si>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</si>
  <si>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</si>
  <si>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</si>
  <si>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</si>
  <si>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</si>
  <si>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</si>
  <si>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</si>
  <si>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</si>
  <si>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</si>
  <si>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Plusvalía</t>
  </si>
  <si>
    <t>Propiedades, planta y equipo</t>
  </si>
  <si>
    <t>TOTAL DE ACTIVOS NO CORRIENTES</t>
  </si>
  <si>
    <t>PATRIMONIO Y PASIVOS</t>
  </si>
  <si>
    <t>PASIVOS CORRIENTES</t>
  </si>
  <si>
    <t>Cuentas comerciales y otras cuentas por pagar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</si>
  <si>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</si>
  <si>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</si>
  <si>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</si>
  <si>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</si>
  <si>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</si>
  <si>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</si>
  <si>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</si>
  <si>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</si>
  <si>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Capital emitido</t>
  </si>
  <si>
    <t>Ganancias acumuladas</t>
  </si>
  <si>
    <t>Otras participaciones en el patrimonio</t>
  </si>
  <si>
    <t>Resultados por unidades de reajuste</t>
  </si>
  <si>
    <t>Ganancia</t>
  </si>
  <si>
    <t xml:space="preserve">Ganancia </t>
  </si>
  <si>
    <t xml:space="preserve">Ganancias por acción básica 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</si>
  <si>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</si>
  <si>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</si>
  <si>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</si>
  <si>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</si>
  <si>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</si>
  <si>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</si>
  <si>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</si>
  <si>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</si>
  <si>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</si>
  <si>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</si>
  <si>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</si>
  <si>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</si>
  <si>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</si>
  <si>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</si>
  <si>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</si>
  <si>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</si>
  <si>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</si>
  <si>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</si>
  <si>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</si>
  <si>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</si>
  <si>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</si>
  <si>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</si>
  <si>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</si>
  <si>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</si>
  <si>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</si>
  <si>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</si>
  <si>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</si>
  <si>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</si>
  <si>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</si>
  <si>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</si>
  <si>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</si>
  <si>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</si>
  <si>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</si>
  <si>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</si>
  <si>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</si>
  <si>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</si>
  <si>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</si>
  <si>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</si>
  <si>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</si>
  <si>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</si>
  <si>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</si>
  <si>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</si>
  <si>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</si>
  <si>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</si>
  <si>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Aguas del Maipo S.A.</t>
  </si>
  <si>
    <t>Aguas Andinas Consolidado</t>
  </si>
  <si>
    <t>Análisis Razonado</t>
  </si>
  <si>
    <t>RESULTADO POR NATURALEZA</t>
  </si>
  <si>
    <t>% Var.</t>
  </si>
  <si>
    <t>EBITDA</t>
  </si>
  <si>
    <t>Total</t>
  </si>
  <si>
    <t> Total</t>
  </si>
  <si>
    <t>AFRs</t>
  </si>
  <si>
    <t>Variable</t>
  </si>
  <si>
    <t>Fija</t>
  </si>
  <si>
    <t>Estado de Flujo de efectivo directo</t>
  </si>
  <si>
    <t>Clases de pagos en efectivo procedentes de actividades de operación</t>
  </si>
  <si>
    <t>Recursos por ventas de otros activos a largo plazo</t>
  </si>
  <si>
    <t>Cobros a entidades relacionadas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</si>
  <si>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</si>
  <si>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</si>
  <si>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</si>
  <si>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</si>
  <si>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</si>
  <si>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Bonos</t>
  </si>
  <si>
    <t>Préstamos</t>
  </si>
  <si>
    <t>Impuestos a las ganancias pagados (reembolsados)</t>
  </si>
  <si>
    <t>Importes procedentes de ventas de activos intangibles</t>
  </si>
  <si>
    <t xml:space="preserve">       Participaciones no controladoras</t>
  </si>
  <si>
    <t>Otros pasivos financieros</t>
  </si>
  <si>
    <t>Provisiones por beneficios a los empleados</t>
  </si>
  <si>
    <t>Otros pasivos no financieros</t>
  </si>
  <si>
    <t xml:space="preserve">Primas de emisión </t>
  </si>
  <si>
    <t>Variación en</t>
  </si>
  <si>
    <t>Periodo</t>
  </si>
  <si>
    <t>Trimestre</t>
  </si>
  <si>
    <t>Gestión y Servicios S.A.</t>
  </si>
  <si>
    <t>Composición por instrumento</t>
  </si>
  <si>
    <t>Composición por tasas</t>
  </si>
  <si>
    <t>Otros activos financieros</t>
  </si>
  <si>
    <t>Activos por impuestos</t>
  </si>
  <si>
    <t>Derechos por cobrar</t>
  </si>
  <si>
    <t>Activo por impuestos diferidos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</si>
  <si>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</si>
  <si>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</si>
  <si>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</si>
  <si>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</si>
  <si>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</si>
  <si>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 xml:space="preserve">Costos financieros </t>
  </si>
  <si>
    <t>Ganancia antes de impuestos</t>
  </si>
  <si>
    <t xml:space="preserve">      Gasto por impuestos a las ganancias</t>
  </si>
  <si>
    <t>Ganancia procedente de operaciones continuadas</t>
  </si>
  <si>
    <t>Ganancia atribuible a</t>
  </si>
  <si>
    <t>Ganancia atribuible a participaciones no controladoras</t>
  </si>
  <si>
    <t xml:space="preserve">Ganancias por acción </t>
  </si>
  <si>
    <t>Otras ganancias (pérdidas)</t>
  </si>
  <si>
    <t>Mes de pago: ene 19</t>
  </si>
  <si>
    <t>Mes de pago: may 19</t>
  </si>
  <si>
    <t>Dividendos: indicar pago últimos 12 meses histórico</t>
  </si>
  <si>
    <t xml:space="preserve">      % Var.</t>
  </si>
  <si>
    <t>Más de un año y no más de dos años</t>
  </si>
  <si>
    <t>Más de dos años y no más de tres años</t>
  </si>
  <si>
    <t>Más de tres años y no más de cuatro años</t>
  </si>
  <si>
    <t>Más de cuatro años y no más de cinco años</t>
  </si>
  <si>
    <t>Más de cinco años</t>
  </si>
  <si>
    <t xml:space="preserve">Activos no corrientes mantenidos para la venta 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</si>
  <si>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</si>
  <si>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</si>
  <si>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</si>
  <si>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</si>
  <si>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9-11</t>
  </si>
  <si>
    <t>https://www.bolsadesantiago.com/#/cierre_bursatil</t>
  </si>
  <si>
    <t>Pasivo por arrendamientos:</t>
  </si>
  <si>
    <t>Hasta 90 días</t>
  </si>
  <si>
    <t>Más de 90 días y no más de un año</t>
  </si>
  <si>
    <t>Total corriente</t>
  </si>
  <si>
    <t>Total no corriente</t>
  </si>
  <si>
    <t>Control</t>
  </si>
  <si>
    <t>Saldos contables</t>
  </si>
  <si>
    <t>TOTAL ACTIVO</t>
  </si>
  <si>
    <t>Dic-18</t>
  </si>
  <si>
    <t>Anam S.A.</t>
  </si>
  <si>
    <t>Dic-19</t>
  </si>
  <si>
    <t>Ganancias por acción básica en operaciones continuadas ($)</t>
  </si>
  <si>
    <t>Importes procedentes de ventas de propiedades, planta y equipo</t>
  </si>
  <si>
    <t>Dic 19 - Dic 18</t>
  </si>
  <si>
    <t>Ejercicio 2019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</si>
  <si>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</si>
  <si>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</si>
  <si>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</si>
  <si>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</si>
  <si>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Mes de pago: ene 20</t>
  </si>
  <si>
    <t>2020 / 2019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</si>
  <si>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</si>
  <si>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</si>
  <si>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</si>
  <si>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</si>
  <si>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</si>
  <si>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</si>
  <si>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</si>
  <si>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</si>
  <si>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</si>
  <si>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01-07-2020
30-09-2020</t>
  </si>
  <si>
    <t>01-07-2019
30-09-2019</t>
  </si>
  <si>
    <t>Participación en las ganancias (pérdidas) de asociadas y negocion conjuntos</t>
  </si>
  <si>
    <t>Ganancia (pérdida) procedente de operaciones discontinuadas</t>
  </si>
  <si>
    <t>Eliminación de los flujos de las operaciones discontinuadas</t>
  </si>
  <si>
    <t>Flujos de efectivo procedentes (utilizados en) operaciones</t>
  </si>
  <si>
    <t>Flujos de efectivo procedentes de (utilizados en) actividades de operación</t>
  </si>
  <si>
    <t>Importes procedentes de préstamos, clasificados como actividades de financiación</t>
  </si>
  <si>
    <t>Flujos de efectivo procedentes de (utilizados en) actividades de financiación</t>
  </si>
  <si>
    <t xml:space="preserve">Incremento (disminución) en el efectivo y equivalentes al efectivo, antes del efecto de los cambios en la tasa de cambio </t>
  </si>
  <si>
    <t>Eliminación de los flujos de linversión discontinuadas</t>
  </si>
  <si>
    <t>Eliminación de los flujos de financiación discontinuadas</t>
  </si>
  <si>
    <t>&lt;(200%)</t>
  </si>
  <si>
    <t>Pasivos no corrientes mantenidos para la venta</t>
  </si>
  <si>
    <t>Forward</t>
  </si>
  <si>
    <t>USD</t>
  </si>
  <si>
    <t>&gt;200%</t>
  </si>
  <si>
    <t>Otras reservas</t>
  </si>
  <si>
    <t xml:space="preserve">Pérdidas por deterioro de valor </t>
  </si>
  <si>
    <t>Acum Dic 2019</t>
  </si>
  <si>
    <t>Acum Dic 2020</t>
  </si>
  <si>
    <t>Periodo Dic 2019 - Dic 2020</t>
  </si>
  <si>
    <t>Mes de pago: dic 20</t>
  </si>
  <si>
    <t>Dic 20 - Dic 19</t>
  </si>
  <si>
    <t>31-12-2019</t>
  </si>
  <si>
    <t>Dic-20</t>
  </si>
  <si>
    <t>Aspectos financieros al 31-12-2020</t>
  </si>
  <si>
    <t>Results</t>
  </si>
  <si>
    <t xml:space="preserve">         Dec. 20</t>
  </si>
  <si>
    <t xml:space="preserve">               Dec. 19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</si>
  <si>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</si>
  <si>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</si>
  <si>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</si>
  <si>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</si>
  <si>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</si>
  <si>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</si>
  <si>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Impairment losses</t>
  </si>
  <si>
    <t>Financial Result*</t>
  </si>
  <si>
    <t>Tax expense</t>
  </si>
  <si>
    <t>Discontinued operations</t>
  </si>
  <si>
    <t>Net earnings</t>
  </si>
  <si>
    <t>Revenue Analysis</t>
  </si>
  <si>
    <t>Potable Water</t>
  </si>
  <si>
    <t>Wastewater</t>
  </si>
  <si>
    <t>Other Regulated Income</t>
  </si>
  <si>
    <t>Non-Regulated Income</t>
  </si>
  <si>
    <t>Sales</t>
  </si>
  <si>
    <t>Participation</t>
  </si>
  <si>
    <t>Th$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</si>
  <si>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</si>
  <si>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Wastewater Collection</t>
  </si>
  <si>
    <t>Wastewater Treatment and Disposal</t>
  </si>
  <si>
    <t>Interconnections*</t>
  </si>
  <si>
    <t>Difference</t>
  </si>
  <si>
    <t>Customers</t>
  </si>
  <si>
    <t>Non-Sanitary Services</t>
  </si>
  <si>
    <t>(Th$)</t>
  </si>
  <si>
    <t>Non-sanitary non-regulated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</si>
  <si>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</si>
  <si>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</si>
  <si>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</si>
  <si>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</si>
  <si>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</si>
  <si>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</si>
  <si>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</si>
  <si>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</si>
  <si>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</si>
  <si>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Accumulated Results, Non-Water Segment</t>
  </si>
  <si>
    <t>Net Earnings</t>
  </si>
  <si>
    <t>4Q20</t>
  </si>
  <si>
    <t>4Q19</t>
  </si>
  <si>
    <t>4Q20 - 4Q19</t>
  </si>
  <si>
    <t>Income Statement (M$)</t>
  </si>
  <si>
    <t>Other (Losses) Earnings</t>
  </si>
  <si>
    <t>Assets</t>
  </si>
  <si>
    <t>Current Assets</t>
  </si>
  <si>
    <t>Non-Current Assets</t>
  </si>
  <si>
    <t>Assets held for sale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</si>
  <si>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</si>
  <si>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</si>
  <si>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</si>
  <si>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</si>
  <si>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</si>
  <si>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</si>
  <si>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</si>
  <si>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</si>
  <si>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</si>
  <si>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 xml:space="preserve">         *Dec. 19</t>
  </si>
  <si>
    <t xml:space="preserve">Drillings and water supply system reinforcements </t>
  </si>
  <si>
    <t>Treatment of nitrates La Farfana and Mapocho-Trebal Biofactories</t>
  </si>
  <si>
    <t>Renovation of potable water networks</t>
  </si>
  <si>
    <t>Renovation of wastewater networks</t>
  </si>
  <si>
    <t>Asset replenishment La Farfana and Mapocho-Trebal Biofactories</t>
  </si>
  <si>
    <t>Pirque Tank Construction</t>
  </si>
  <si>
    <t>Starter and meters</t>
  </si>
  <si>
    <t xml:space="preserve">Expansion of Padre Hurtado Potable Water Treatment Plant </t>
  </si>
  <si>
    <t>Expansion of Quilicura Arsenic Treatment Plant</t>
  </si>
  <si>
    <t>Investments (Th$)</t>
  </si>
  <si>
    <t>Financial Debt M$</t>
  </si>
  <si>
    <t>Bonds</t>
  </si>
  <si>
    <t>Loans</t>
  </si>
  <si>
    <t>Total other financial liabilities</t>
  </si>
  <si>
    <t>Currency</t>
  </si>
  <si>
    <t>Lease liabilities</t>
  </si>
  <si>
    <t>Total lease liabilities</t>
  </si>
  <si>
    <t>12 months</t>
  </si>
  <si>
    <t>1 to 3 years</t>
  </si>
  <si>
    <t>3 to 5 years</t>
  </si>
  <si>
    <t>More than 5 years</t>
  </si>
  <si>
    <t>Operating Activities</t>
  </si>
  <si>
    <t>Investment Activities</t>
  </si>
  <si>
    <t>Financing Activities</t>
  </si>
  <si>
    <t>Net Cash Flow for the Period</t>
  </si>
  <si>
    <t>Final Cash Balance</t>
  </si>
  <si>
    <t>Cash Flow Statement (Th$)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</si>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</sst>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_-;\-* #,##0_-;_-* &quot;-&quot;??_-;_-@_-"/>
    <numFmt numFmtId="169" formatCode="#,##0;[Red]\(#,##0\)"/>
    <numFmt numFmtId="170" formatCode="##,##0.00;[Red]\(##,##0.00\)"/>
    <numFmt numFmtId="171" formatCode="#,##0.000;[Red]\(#,##0.000\)"/>
    <numFmt numFmtId="172" formatCode="#,##0.00;[Red]\(#,##0.00\)"/>
    <numFmt numFmtId="173" formatCode="#,##0.00;[Red]#,##0.00"/>
    <numFmt numFmtId="174" formatCode="#,##0.0;[Red]\(#,##0.0\)"/>
    <numFmt numFmtId="175" formatCode="_-* #,##0\ _P_t_s_-;\-* #,##0\ _P_t_s_-;_-* &quot;-&quot;??\ _P_t_s_-;_-@_-"/>
    <numFmt numFmtId="176" formatCode="_-* #,##0.000_-;\-* #,##0.000_-;_-* &quot;-&quot;??_-;_-@_-"/>
    <numFmt numFmtId="177" formatCode="_-* #,##0.000000_-;\-* #,##0.000000_-;_-* &quot;-&quot;??????_-;_-@_-"/>
    <numFmt numFmtId="178" formatCode="_-* #,##0.0000_-;\-* #,##0.0000_-;_-* &quot;-&quot;??_-;_-@_-"/>
    <numFmt numFmtId="179" formatCode="_-* #,##0.000\ _P_t_s_-;\-* #,##0.000\ _P_t_s_-;_-* &quot;-&quot;??\ _P_t_s_-;_-@_-"/>
    <numFmt numFmtId="180" formatCode="_-* #,##0.0000\ _P_t_s_-;\-* #,##0.0000\ _P_t_s_-;_-* &quot;-&quot;??\ _P_t_s_-;_-@_-"/>
    <numFmt numFmtId="181" formatCode="0.00000"/>
    <numFmt numFmtId="182" formatCode="0.0000"/>
    <numFmt numFmtId="183" formatCode="0.000"/>
    <numFmt numFmtId="184" formatCode="_-* #,##0.000_-;\-* #,##0.000_-;_-* &quot;-&quot;???_-;_-@_-"/>
    <numFmt numFmtId="185" formatCode="##,##0;\(##,##0\)"/>
    <numFmt numFmtId="186" formatCode="0.0000%"/>
    <numFmt numFmtId="187" formatCode="0.0%"/>
    <numFmt numFmtId="188" formatCode="#,##0;\(\ #,##0\)"/>
    <numFmt numFmtId="189" formatCode="#,##0;\(\ \ #,##0\)"/>
    <numFmt numFmtId="190" formatCode="dd\-mm\-yyyy"/>
    <numFmt numFmtId="191" formatCode="d\-m\-yyyy"/>
    <numFmt numFmtId="192" formatCode="_-* #,##0.00\ &quot;DM&quot;_-;\-* #,##0.00\ &quot;DM&quot;_-;_-* &quot;-&quot;??\ &quot;DM&quot;_-;_-@_-"/>
    <numFmt numFmtId="193" formatCode="_-* #,##0.00\ [$€]_-;\-* #,##0.00\ [$€]_-;_-* &quot;-&quot;??\ [$€]_-;_-@_-"/>
    <numFmt numFmtId="194" formatCode="_-* #,##0\ _D_M_-;\-* #,##0\ _D_M_-;_-* &quot;-&quot;\ _D_M_-;_-@_-"/>
    <numFmt numFmtId="195" formatCode="_-* #,##0.00\ _D_M_-;\-* #,##0.00\ _D_M_-;_-* &quot;-&quot;??\ _D_M_-;_-@_-"/>
    <numFmt numFmtId="196" formatCode="_-* #,##0\ &quot;DM&quot;_-;\-* #,##0\ &quot;DM&quot;_-;_-* &quot;-&quot;\ &quot;DM&quot;_-;_-@_-"/>
    <numFmt numFmtId="197" formatCode="_(* #,##0_);_(* \(#,##0\);_(* &quot;-&quot;??_);_(@_)"/>
    <numFmt numFmtId="198" formatCode="#,##0.000"/>
    <numFmt numFmtId="199" formatCode="#,##0_ ;\-#,##0\ "/>
    <numFmt numFmtId="200" formatCode="#,##0\ ;\(#,##0\);\-\ ;"/>
    <numFmt numFmtId="201" formatCode="0.0%_);\(0.0%\)"/>
    <numFmt numFmtId="202" formatCode="_-* #,##0.00_-;\-* #,##0.00_-;_-* &quot;-&quot;??_-;_-@_-"/>
    <numFmt numFmtId="203" formatCode="#,##0;\(#,##0\);\-"/>
    <numFmt numFmtId="204" formatCode="#,##0.000;\(#,##0.000\);\-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9"/>
      <color rgb="FF1F3864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sz val="10"/>
      <color theme="3" tint="-0.499984740745262"/>
      <name val="Calibri"/>
      <family val="2"/>
      <scheme val="minor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</borders>
  <cellStyleXfs count="166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34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93" fontId="5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6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5" fontId="2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2" fillId="0" borderId="0" applyFont="0" applyFill="0" applyBorder="0" applyAlignment="0" applyProtection="0"/>
    <xf numFmtId="196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8" fillId="91" borderId="26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0" fontId="4" fillId="71" borderId="15"/>
    <xf numFmtId="0" fontId="4" fillId="71" borderId="15"/>
    <xf numFmtId="0" fontId="4" fillId="71" borderId="15"/>
    <xf numFmtId="0" fontId="4" fillId="71" borderId="15"/>
    <xf numFmtId="0" fontId="4" fillId="71" borderId="15"/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85" fillId="0" borderId="0"/>
    <xf numFmtId="202" fontId="1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105" fillId="0" borderId="0" applyNumberFormat="0" applyFill="0" applyBorder="0" applyAlignment="0" applyProtection="0"/>
  </cellStyleXfs>
  <cellXfs count="539">
    <xf numFmtId="0" fontId="0" fillId="0" borderId="0" xfId="0"/>
    <xf numFmtId="0" fontId="73" fillId="0" borderId="97" xfId="0" applyFont="1" applyBorder="1" applyAlignment="1">
      <alignment vertical="center"/>
    </xf>
    <xf numFmtId="0" fontId="72" fillId="0" borderId="67" xfId="0" applyFont="1" applyBorder="1" applyAlignment="1">
      <alignment horizontal="left"/>
    </xf>
    <xf numFmtId="0" fontId="114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0" fontId="113" fillId="0" borderId="0" xfId="0" applyFont="1" applyAlignment="1">
      <alignment vertical="center"/>
    </xf>
    <xf numFmtId="0" fontId="110" fillId="0" borderId="0" xfId="0" applyFont="1"/>
    <xf numFmtId="0" fontId="72" fillId="0" borderId="67" xfId="0" applyFont="1" applyBorder="1" applyAlignment="1">
      <alignment horizontal="center" vertical="center"/>
    </xf>
    <xf numFmtId="0" fontId="110" fillId="0" borderId="0" xfId="0" applyFont="1" applyAlignment="1">
      <alignment vertical="center"/>
    </xf>
    <xf numFmtId="0" fontId="111" fillId="0" borderId="0" xfId="0" applyFont="1" applyAlignment="1">
      <alignment vertical="center"/>
    </xf>
    <xf numFmtId="0" fontId="110" fillId="0" borderId="67" xfId="0" applyFont="1" applyBorder="1" applyAlignment="1">
      <alignment vertical="center"/>
    </xf>
    <xf numFmtId="0" fontId="70" fillId="0" borderId="0" xfId="0" applyFont="1"/>
    <xf numFmtId="3" fontId="70" fillId="0" borderId="0" xfId="0" applyNumberFormat="1" applyFont="1"/>
    <xf numFmtId="0" fontId="69" fillId="0" borderId="0" xfId="0" applyFont="1" applyAlignment="1">
      <alignment horizontal="center"/>
    </xf>
    <xf numFmtId="17" fontId="69" fillId="0" borderId="0" xfId="0" applyNumberFormat="1" applyFont="1" applyAlignment="1">
      <alignment horizontal="center"/>
    </xf>
    <xf numFmtId="3" fontId="69" fillId="0" borderId="0" xfId="0" applyNumberFormat="1" applyFont="1"/>
    <xf numFmtId="3" fontId="71" fillId="0" borderId="0" xfId="0" applyNumberFormat="1" applyFont="1"/>
    <xf numFmtId="0" fontId="72" fillId="0" borderId="67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2" fillId="0" borderId="37" xfId="0" applyFont="1" applyBorder="1" applyAlignment="1">
      <alignment horizontal="center" vertical="center"/>
    </xf>
    <xf numFmtId="0" fontId="74" fillId="0" borderId="0" xfId="0" applyFont="1"/>
    <xf numFmtId="200" fontId="73" fillId="0" borderId="0" xfId="0" applyNumberFormat="1" applyFont="1" applyAlignment="1">
      <alignment horizontal="right" vertical="center"/>
    </xf>
    <xf numFmtId="201" fontId="73" fillId="0" borderId="0" xfId="0" applyNumberFormat="1" applyFont="1" applyAlignment="1">
      <alignment horizontal="right" vertical="center"/>
    </xf>
    <xf numFmtId="200" fontId="72" fillId="0" borderId="0" xfId="0" applyNumberFormat="1" applyFont="1" applyAlignment="1">
      <alignment horizontal="right" vertical="center"/>
    </xf>
    <xf numFmtId="201" fontId="72" fillId="0" borderId="0" xfId="0" applyNumberFormat="1" applyFont="1" applyAlignment="1">
      <alignment horizontal="right" vertical="center"/>
    </xf>
    <xf numFmtId="0" fontId="75" fillId="0" borderId="0" xfId="0" applyFont="1"/>
    <xf numFmtId="201" fontId="73" fillId="0" borderId="0" xfId="0" applyNumberFormat="1" applyFont="1" applyFill="1" applyAlignment="1">
      <alignment horizontal="right" vertical="center"/>
    </xf>
    <xf numFmtId="200" fontId="73" fillId="0" borderId="0" xfId="0" applyNumberFormat="1" applyFont="1" applyFill="1" applyAlignment="1">
      <alignment horizontal="right" vertical="center"/>
    </xf>
    <xf numFmtId="0" fontId="74" fillId="0" borderId="0" xfId="0" applyFont="1" applyFill="1"/>
    <xf numFmtId="0" fontId="76" fillId="0" borderId="0" xfId="0" applyFont="1" applyAlignment="1">
      <alignment horizontal="left" indent="2"/>
    </xf>
    <xf numFmtId="0" fontId="74" fillId="0" borderId="0" xfId="0" applyFont="1" applyAlignment="1">
      <alignment vertical="center"/>
    </xf>
    <xf numFmtId="197" fontId="74" fillId="0" borderId="0" xfId="793" applyNumberFormat="1" applyFont="1" applyAlignment="1">
      <alignment vertical="center"/>
    </xf>
    <xf numFmtId="0" fontId="73" fillId="0" borderId="0" xfId="0" applyFont="1"/>
    <xf numFmtId="3" fontId="73" fillId="0" borderId="0" xfId="0" applyNumberFormat="1" applyFont="1" applyAlignment="1">
      <alignment horizontal="right"/>
    </xf>
    <xf numFmtId="10" fontId="73" fillId="0" borderId="0" xfId="0" applyNumberFormat="1" applyFont="1" applyAlignment="1">
      <alignment horizontal="right"/>
    </xf>
    <xf numFmtId="0" fontId="77" fillId="0" borderId="0" xfId="0" applyFont="1"/>
    <xf numFmtId="3" fontId="78" fillId="0" borderId="0" xfId="0" applyNumberFormat="1" applyFont="1" applyAlignment="1">
      <alignment horizontal="right" vertical="center"/>
    </xf>
    <xf numFmtId="3" fontId="74" fillId="0" borderId="0" xfId="0" applyNumberFormat="1" applyFont="1" applyAlignment="1">
      <alignment vertical="center"/>
    </xf>
    <xf numFmtId="3" fontId="78" fillId="0" borderId="39" xfId="0" applyNumberFormat="1" applyFont="1" applyBorder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right" vertical="center"/>
    </xf>
    <xf numFmtId="0" fontId="76" fillId="0" borderId="0" xfId="0" applyFont="1" applyAlignment="1">
      <alignment horizontal="justify"/>
    </xf>
    <xf numFmtId="3" fontId="74" fillId="0" borderId="0" xfId="0" applyNumberFormat="1" applyFont="1"/>
    <xf numFmtId="3" fontId="72" fillId="0" borderId="0" xfId="0" applyNumberFormat="1" applyFont="1"/>
    <xf numFmtId="3" fontId="73" fillId="0" borderId="0" xfId="0" applyNumberFormat="1" applyFont="1" applyAlignment="1">
      <alignment horizontal="right" vertical="center"/>
    </xf>
    <xf numFmtId="3" fontId="68" fillId="0" borderId="0" xfId="0" applyNumberFormat="1" applyFont="1"/>
    <xf numFmtId="200" fontId="80" fillId="0" borderId="0" xfId="0" applyNumberFormat="1" applyFont="1" applyAlignment="1">
      <alignment horizontal="right" vertical="center"/>
    </xf>
    <xf numFmtId="200" fontId="71" fillId="0" borderId="0" xfId="0" applyNumberFormat="1" applyFont="1" applyBorder="1" applyAlignment="1">
      <alignment horizontal="right" vertical="center"/>
    </xf>
    <xf numFmtId="201" fontId="71" fillId="0" borderId="0" xfId="0" applyNumberFormat="1" applyFont="1" applyBorder="1" applyAlignment="1">
      <alignment horizontal="right" vertical="center"/>
    </xf>
    <xf numFmtId="200" fontId="80" fillId="0" borderId="0" xfId="0" applyNumberFormat="1" applyFont="1" applyBorder="1" applyAlignment="1">
      <alignment horizontal="right" vertical="center"/>
    </xf>
    <xf numFmtId="201" fontId="80" fillId="0" borderId="0" xfId="0" applyNumberFormat="1" applyFont="1" applyBorder="1" applyAlignment="1">
      <alignment horizontal="right" vertical="center"/>
    </xf>
    <xf numFmtId="0" fontId="78" fillId="0" borderId="0" xfId="0" applyFont="1" applyAlignment="1">
      <alignment vertical="center"/>
    </xf>
    <xf numFmtId="0" fontId="79" fillId="0" borderId="0" xfId="0" applyFont="1"/>
    <xf numFmtId="0" fontId="74" fillId="0" borderId="0" xfId="0" applyFont="1" applyAlignment="1">
      <alignment horizontal="left"/>
    </xf>
    <xf numFmtId="200" fontId="74" fillId="0" borderId="0" xfId="0" applyNumberFormat="1" applyFont="1"/>
    <xf numFmtId="3" fontId="81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/>
    </xf>
    <xf numFmtId="200" fontId="75" fillId="0" borderId="0" xfId="0" applyNumberFormat="1" applyFont="1"/>
    <xf numFmtId="0" fontId="75" fillId="0" borderId="0" xfId="0" applyFont="1" applyFill="1"/>
    <xf numFmtId="200" fontId="72" fillId="0" borderId="0" xfId="0" applyNumberFormat="1" applyFont="1" applyFill="1" applyAlignment="1">
      <alignment horizontal="right" vertical="center"/>
    </xf>
    <xf numFmtId="0" fontId="75" fillId="0" borderId="0" xfId="0" applyFont="1" applyFill="1" applyAlignment="1">
      <alignment horizontal="left"/>
    </xf>
    <xf numFmtId="200" fontId="75" fillId="0" borderId="0" xfId="0" applyNumberFormat="1" applyFont="1" applyFill="1"/>
    <xf numFmtId="0" fontId="76" fillId="0" borderId="0" xfId="1658" applyFont="1" applyAlignment="1">
      <alignment horizontal="left" indent="2"/>
    </xf>
    <xf numFmtId="0" fontId="74" fillId="0" borderId="0" xfId="1658" applyFont="1"/>
    <xf numFmtId="0" fontId="74" fillId="0" borderId="0" xfId="1658" applyFont="1" applyFill="1"/>
    <xf numFmtId="0" fontId="74" fillId="0" borderId="0" xfId="1658" applyFont="1" applyAlignment="1">
      <alignment vertical="center"/>
    </xf>
    <xf numFmtId="3" fontId="74" fillId="0" borderId="0" xfId="1658" applyNumberFormat="1" applyFont="1" applyAlignment="1">
      <alignment vertical="center"/>
    </xf>
    <xf numFmtId="0" fontId="73" fillId="0" borderId="37" xfId="0" applyFont="1" applyBorder="1" applyAlignment="1">
      <alignment vertical="center"/>
    </xf>
    <xf numFmtId="201" fontId="74" fillId="0" borderId="0" xfId="0" applyNumberFormat="1" applyFont="1"/>
    <xf numFmtId="0" fontId="72" fillId="0" borderId="37" xfId="0" applyFont="1" applyBorder="1" applyAlignment="1">
      <alignment horizontal="right" vertical="center"/>
    </xf>
    <xf numFmtId="0" fontId="72" fillId="0" borderId="0" xfId="0" applyFont="1" applyAlignment="1">
      <alignment horizontal="center"/>
    </xf>
    <xf numFmtId="0" fontId="72" fillId="0" borderId="37" xfId="0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3" fontId="73" fillId="0" borderId="0" xfId="0" applyNumberFormat="1" applyFont="1"/>
    <xf numFmtId="0" fontId="73" fillId="0" borderId="37" xfId="0" applyFont="1" applyBorder="1" applyAlignment="1">
      <alignment horizontal="center" vertical="center"/>
    </xf>
    <xf numFmtId="0" fontId="82" fillId="0" borderId="0" xfId="0" applyFont="1" applyFill="1"/>
    <xf numFmtId="9" fontId="82" fillId="0" borderId="0" xfId="913" applyFont="1" applyFill="1"/>
    <xf numFmtId="3" fontId="82" fillId="0" borderId="0" xfId="0" applyNumberFormat="1" applyFont="1" applyFill="1"/>
    <xf numFmtId="9" fontId="82" fillId="0" borderId="0" xfId="913" applyNumberFormat="1" applyFont="1" applyFill="1"/>
    <xf numFmtId="9" fontId="83" fillId="0" borderId="0" xfId="913" applyFont="1" applyFill="1"/>
    <xf numFmtId="187" fontId="72" fillId="0" borderId="0" xfId="913" applyNumberFormat="1" applyFont="1"/>
    <xf numFmtId="9" fontId="73" fillId="0" borderId="0" xfId="913" applyFont="1"/>
    <xf numFmtId="9" fontId="74" fillId="0" borderId="0" xfId="913" applyFont="1"/>
    <xf numFmtId="9" fontId="75" fillId="0" borderId="0" xfId="913" applyFont="1"/>
    <xf numFmtId="201" fontId="73" fillId="0" borderId="0" xfId="0" applyNumberFormat="1" applyFont="1" applyFill="1" applyAlignment="1">
      <alignment horizontal="center" vertical="center"/>
    </xf>
    <xf numFmtId="201" fontId="73" fillId="0" borderId="0" xfId="0" applyNumberFormat="1" applyFont="1" applyAlignment="1">
      <alignment horizontal="center" vertical="center"/>
    </xf>
    <xf numFmtId="0" fontId="72" fillId="0" borderId="37" xfId="0" applyFont="1" applyBorder="1"/>
    <xf numFmtId="185" fontId="73" fillId="0" borderId="0" xfId="0" applyNumberFormat="1" applyFont="1"/>
    <xf numFmtId="2" fontId="73" fillId="0" borderId="0" xfId="0" applyNumberFormat="1" applyFont="1" applyAlignment="1">
      <alignment horizontal="right" vertical="center"/>
    </xf>
    <xf numFmtId="2" fontId="73" fillId="0" borderId="0" xfId="0" applyNumberFormat="1" applyFont="1"/>
    <xf numFmtId="2" fontId="73" fillId="0" borderId="0" xfId="0" applyNumberFormat="1" applyFont="1" applyAlignment="1">
      <alignment vertical="center"/>
    </xf>
    <xf numFmtId="0" fontId="73" fillId="0" borderId="0" xfId="0" applyFont="1" applyFill="1"/>
    <xf numFmtId="0" fontId="81" fillId="0" borderId="0" xfId="0" applyFont="1" applyAlignment="1">
      <alignment vertical="center"/>
    </xf>
    <xf numFmtId="0" fontId="78" fillId="0" borderId="0" xfId="0" applyFont="1" applyAlignment="1">
      <alignment horizontal="right" vertical="center"/>
    </xf>
    <xf numFmtId="3" fontId="84" fillId="0" borderId="0" xfId="0" applyNumberFormat="1" applyFont="1" applyAlignment="1">
      <alignment horizontal="right" vertical="center"/>
    </xf>
    <xf numFmtId="14" fontId="86" fillId="72" borderId="50" xfId="869" applyNumberFormat="1" applyFont="1" applyFill="1" applyBorder="1" applyAlignment="1">
      <alignment horizontal="center" vertical="center"/>
    </xf>
    <xf numFmtId="14" fontId="86" fillId="72" borderId="51" xfId="869" applyNumberFormat="1" applyFont="1" applyFill="1" applyBorder="1" applyAlignment="1">
      <alignment horizontal="center" vertical="center"/>
    </xf>
    <xf numFmtId="203" fontId="86" fillId="72" borderId="56" xfId="869" applyNumberFormat="1" applyFont="1" applyFill="1" applyBorder="1" applyAlignment="1">
      <alignment horizontal="center" vertical="top"/>
    </xf>
    <xf numFmtId="203" fontId="86" fillId="72" borderId="57" xfId="869" applyNumberFormat="1" applyFont="1" applyFill="1" applyBorder="1" applyAlignment="1">
      <alignment horizontal="center" vertical="top"/>
    </xf>
    <xf numFmtId="203" fontId="86" fillId="0" borderId="55" xfId="869" applyNumberFormat="1" applyFont="1" applyBorder="1" applyAlignment="1">
      <alignment horizontal="left" vertical="center" indent="1"/>
    </xf>
    <xf numFmtId="203" fontId="87" fillId="0" borderId="1" xfId="869" quotePrefix="1" applyNumberFormat="1" applyFont="1" applyBorder="1" applyAlignment="1">
      <alignment horizontal="center" vertical="center"/>
    </xf>
    <xf numFmtId="203" fontId="87" fillId="0" borderId="1" xfId="869" applyNumberFormat="1" applyFont="1" applyBorder="1" applyAlignment="1">
      <alignment vertical="center"/>
    </xf>
    <xf numFmtId="203" fontId="87" fillId="0" borderId="46" xfId="869" applyNumberFormat="1" applyFont="1" applyBorder="1" applyAlignment="1">
      <alignment vertical="center"/>
    </xf>
    <xf numFmtId="203" fontId="87" fillId="0" borderId="55" xfId="869" applyNumberFormat="1" applyFont="1" applyBorder="1" applyAlignment="1">
      <alignment horizontal="left" vertical="center" indent="3"/>
    </xf>
    <xf numFmtId="203" fontId="87" fillId="0" borderId="1" xfId="869" applyNumberFormat="1" applyFont="1" applyBorder="1" applyAlignment="1">
      <alignment horizontal="center" vertical="center"/>
    </xf>
    <xf numFmtId="203" fontId="86" fillId="72" borderId="55" xfId="869" applyNumberFormat="1" applyFont="1" applyFill="1" applyBorder="1" applyAlignment="1">
      <alignment horizontal="left" vertical="center" wrapText="1"/>
    </xf>
    <xf numFmtId="203" fontId="86" fillId="72" borderId="1" xfId="869" applyNumberFormat="1" applyFont="1" applyFill="1" applyBorder="1" applyAlignment="1">
      <alignment horizontal="center" vertical="center"/>
    </xf>
    <xf numFmtId="203" fontId="86" fillId="95" borderId="55" xfId="869" applyNumberFormat="1" applyFont="1" applyFill="1" applyBorder="1" applyAlignment="1">
      <alignment horizontal="left" vertical="center"/>
    </xf>
    <xf numFmtId="203" fontId="86" fillId="0" borderId="1" xfId="869" applyNumberFormat="1" applyFont="1" applyBorder="1" applyAlignment="1">
      <alignment horizontal="center" vertical="center"/>
    </xf>
    <xf numFmtId="203" fontId="86" fillId="72" borderId="55" xfId="869" applyNumberFormat="1" applyFont="1" applyFill="1" applyBorder="1" applyAlignment="1">
      <alignment horizontal="left" vertical="center" indent="2"/>
    </xf>
    <xf numFmtId="203" fontId="86" fillId="72" borderId="58" xfId="869" applyNumberFormat="1" applyFont="1" applyFill="1" applyBorder="1" applyAlignment="1">
      <alignment horizontal="left" vertical="center" indent="2"/>
    </xf>
    <xf numFmtId="203" fontId="86" fillId="72" borderId="47" xfId="869" applyNumberFormat="1" applyFont="1" applyFill="1" applyBorder="1" applyAlignment="1">
      <alignment horizontal="center" vertical="center"/>
    </xf>
    <xf numFmtId="203" fontId="86" fillId="0" borderId="1" xfId="869" applyNumberFormat="1" applyFont="1" applyBorder="1" applyAlignment="1">
      <alignment horizontal="left" vertical="center" indent="2"/>
    </xf>
    <xf numFmtId="203" fontId="86" fillId="72" borderId="55" xfId="869" applyNumberFormat="1" applyFont="1" applyFill="1" applyBorder="1" applyAlignment="1">
      <alignment horizontal="left" vertical="center" wrapText="1" indent="2"/>
    </xf>
    <xf numFmtId="203" fontId="86" fillId="72" borderId="1" xfId="869" applyNumberFormat="1" applyFont="1" applyFill="1" applyBorder="1" applyAlignment="1">
      <alignment horizontal="left" vertical="center" indent="3"/>
    </xf>
    <xf numFmtId="203" fontId="86" fillId="72" borderId="55" xfId="869" applyNumberFormat="1" applyFont="1" applyFill="1" applyBorder="1" applyAlignment="1">
      <alignment horizontal="left" vertical="center" indent="1"/>
    </xf>
    <xf numFmtId="203" fontId="86" fillId="0" borderId="59" xfId="869" applyNumberFormat="1" applyFont="1" applyBorder="1" applyAlignment="1">
      <alignment vertical="center"/>
    </xf>
    <xf numFmtId="203" fontId="79" fillId="0" borderId="55" xfId="869" applyNumberFormat="1" applyFont="1" applyBorder="1" applyAlignment="1">
      <alignment horizontal="left" vertical="center" indent="3"/>
    </xf>
    <xf numFmtId="203" fontId="86" fillId="0" borderId="55" xfId="869" applyNumberFormat="1" applyFont="1" applyBorder="1" applyAlignment="1">
      <alignment horizontal="left" vertical="center" wrapText="1" indent="3"/>
    </xf>
    <xf numFmtId="203" fontId="87" fillId="0" borderId="55" xfId="869" applyNumberFormat="1" applyFont="1" applyBorder="1" applyAlignment="1">
      <alignment horizontal="left" vertical="center"/>
    </xf>
    <xf numFmtId="203" fontId="87" fillId="72" borderId="1" xfId="869" applyNumberFormat="1" applyFont="1" applyFill="1" applyBorder="1" applyAlignment="1">
      <alignment horizontal="center" vertical="center"/>
    </xf>
    <xf numFmtId="203" fontId="86" fillId="72" borderId="58" xfId="869" applyNumberFormat="1" applyFont="1" applyFill="1" applyBorder="1" applyAlignment="1">
      <alignment horizontal="left" vertical="center" indent="1"/>
    </xf>
    <xf numFmtId="203" fontId="86" fillId="72" borderId="47" xfId="869" applyNumberFormat="1" applyFont="1" applyFill="1" applyBorder="1" applyAlignment="1">
      <alignment horizontal="left" vertical="center" indent="3"/>
    </xf>
    <xf numFmtId="14" fontId="86" fillId="95" borderId="62" xfId="860" applyNumberFormat="1" applyFont="1" applyFill="1" applyBorder="1" applyAlignment="1">
      <alignment horizontal="center" vertical="center" wrapText="1"/>
    </xf>
    <xf numFmtId="14" fontId="86" fillId="95" borderId="51" xfId="860" applyNumberFormat="1" applyFont="1" applyFill="1" applyBorder="1" applyAlignment="1">
      <alignment horizontal="center" vertical="center" wrapText="1"/>
    </xf>
    <xf numFmtId="203" fontId="86" fillId="72" borderId="69" xfId="869" applyNumberFormat="1" applyFont="1" applyFill="1" applyBorder="1" applyAlignment="1">
      <alignment horizontal="center" vertical="top"/>
    </xf>
    <xf numFmtId="203" fontId="87" fillId="0" borderId="55" xfId="869" applyNumberFormat="1" applyFont="1" applyBorder="1" applyAlignment="1">
      <alignment vertical="center"/>
    </xf>
    <xf numFmtId="203" fontId="87" fillId="0" borderId="60" xfId="869" applyNumberFormat="1" applyFont="1" applyBorder="1" applyAlignment="1">
      <alignment vertical="center"/>
    </xf>
    <xf numFmtId="49" fontId="87" fillId="0" borderId="1" xfId="869" applyNumberFormat="1" applyFont="1" applyBorder="1" applyAlignment="1">
      <alignment horizontal="center" vertical="center"/>
    </xf>
    <xf numFmtId="0" fontId="87" fillId="0" borderId="55" xfId="869" applyFont="1" applyFill="1" applyBorder="1" applyAlignment="1">
      <alignment vertical="center"/>
    </xf>
    <xf numFmtId="49" fontId="87" fillId="0" borderId="1" xfId="869" applyNumberFormat="1" applyFont="1" applyFill="1" applyBorder="1" applyAlignment="1">
      <alignment horizontal="center" vertical="center"/>
    </xf>
    <xf numFmtId="3" fontId="87" fillId="0" borderId="1" xfId="869" applyNumberFormat="1" applyFont="1" applyFill="1" applyBorder="1" applyAlignment="1">
      <alignment vertical="center"/>
    </xf>
    <xf numFmtId="0" fontId="86" fillId="72" borderId="55" xfId="869" applyFont="1" applyFill="1" applyBorder="1" applyAlignment="1">
      <alignment vertical="center"/>
    </xf>
    <xf numFmtId="0" fontId="86" fillId="72" borderId="1" xfId="869" applyFont="1" applyFill="1" applyBorder="1" applyAlignment="1">
      <alignment horizontal="center" vertical="center"/>
    </xf>
    <xf numFmtId="3" fontId="86" fillId="72" borderId="1" xfId="869" applyNumberFormat="1" applyFont="1" applyFill="1" applyBorder="1" applyAlignment="1">
      <alignment vertical="center"/>
    </xf>
    <xf numFmtId="3" fontId="86" fillId="72" borderId="60" xfId="869" applyNumberFormat="1" applyFont="1" applyFill="1" applyBorder="1" applyAlignment="1">
      <alignment vertical="center"/>
    </xf>
    <xf numFmtId="3" fontId="86" fillId="72" borderId="46" xfId="869" applyNumberFormat="1" applyFont="1" applyFill="1" applyBorder="1" applyAlignment="1">
      <alignment vertical="center"/>
    </xf>
    <xf numFmtId="0" fontId="86" fillId="72" borderId="1" xfId="869" applyFont="1" applyFill="1" applyBorder="1" applyAlignment="1">
      <alignment horizontal="left" vertical="center" indent="3"/>
    </xf>
    <xf numFmtId="0" fontId="87" fillId="0" borderId="1" xfId="869" applyFont="1" applyFill="1" applyBorder="1" applyAlignment="1">
      <alignment horizontal="center" vertical="center"/>
    </xf>
    <xf numFmtId="3" fontId="87" fillId="0" borderId="46" xfId="869" applyNumberFormat="1" applyFont="1" applyFill="1" applyBorder="1" applyAlignment="1">
      <alignment vertical="center"/>
    </xf>
    <xf numFmtId="0" fontId="86" fillId="0" borderId="55" xfId="869" applyFont="1" applyFill="1" applyBorder="1" applyAlignment="1">
      <alignment vertical="center" wrapText="1"/>
    </xf>
    <xf numFmtId="0" fontId="87" fillId="0" borderId="1" xfId="869" applyFont="1" applyFill="1" applyBorder="1" applyAlignment="1">
      <alignment horizontal="left" vertical="center" indent="3"/>
    </xf>
    <xf numFmtId="3" fontId="87" fillId="0" borderId="1" xfId="869" applyNumberFormat="1" applyFont="1" applyFill="1" applyBorder="1" applyAlignment="1">
      <alignment horizontal="center" vertical="center"/>
    </xf>
    <xf numFmtId="3" fontId="87" fillId="0" borderId="60" xfId="869" applyNumberFormat="1" applyFont="1" applyFill="1" applyBorder="1" applyAlignment="1">
      <alignment horizontal="center" vertical="center"/>
    </xf>
    <xf numFmtId="0" fontId="86" fillId="72" borderId="55" xfId="869" applyFont="1" applyFill="1" applyBorder="1" applyAlignment="1">
      <alignment vertical="center" wrapText="1"/>
    </xf>
    <xf numFmtId="3" fontId="86" fillId="97" borderId="1" xfId="869" applyNumberFormat="1" applyFont="1" applyFill="1" applyBorder="1" applyAlignment="1">
      <alignment vertical="center"/>
    </xf>
    <xf numFmtId="0" fontId="86" fillId="97" borderId="55" xfId="869" applyFont="1" applyFill="1" applyBorder="1" applyAlignment="1">
      <alignment vertical="center"/>
    </xf>
    <xf numFmtId="0" fontId="86" fillId="97" borderId="1" xfId="869" applyFont="1" applyFill="1" applyBorder="1" applyAlignment="1">
      <alignment horizontal="left" vertical="center" indent="3"/>
    </xf>
    <xf numFmtId="3" fontId="86" fillId="97" borderId="60" xfId="869" applyNumberFormat="1" applyFont="1" applyFill="1" applyBorder="1" applyAlignment="1">
      <alignment vertical="center"/>
    </xf>
    <xf numFmtId="3" fontId="86" fillId="97" borderId="46" xfId="869" applyNumberFormat="1" applyFont="1" applyFill="1" applyBorder="1" applyAlignment="1">
      <alignment vertical="center"/>
    </xf>
    <xf numFmtId="0" fontId="86" fillId="0" borderId="55" xfId="869" applyFont="1" applyFill="1" applyBorder="1" applyAlignment="1">
      <alignment vertical="center"/>
    </xf>
    <xf numFmtId="3" fontId="87" fillId="0" borderId="0" xfId="869" applyNumberFormat="1" applyFont="1" applyBorder="1" applyAlignment="1"/>
    <xf numFmtId="0" fontId="87" fillId="0" borderId="0" xfId="869" applyFont="1" applyBorder="1" applyAlignment="1"/>
    <xf numFmtId="0" fontId="86" fillId="72" borderId="58" xfId="869" applyFont="1" applyFill="1" applyBorder="1" applyAlignment="1">
      <alignment vertical="center"/>
    </xf>
    <xf numFmtId="0" fontId="87" fillId="72" borderId="47" xfId="869" applyFont="1" applyFill="1" applyBorder="1" applyAlignment="1">
      <alignment horizontal="center" vertical="center"/>
    </xf>
    <xf numFmtId="198" fontId="86" fillId="72" borderId="47" xfId="869" applyNumberFormat="1" applyFont="1" applyFill="1" applyBorder="1" applyAlignment="1">
      <alignment vertical="center"/>
    </xf>
    <xf numFmtId="198" fontId="86" fillId="72" borderId="66" xfId="869" applyNumberFormat="1" applyFont="1" applyFill="1" applyBorder="1" applyAlignment="1">
      <alignment vertical="center"/>
    </xf>
    <xf numFmtId="198" fontId="86" fillId="72" borderId="48" xfId="869" applyNumberFormat="1" applyFont="1" applyFill="1" applyBorder="1" applyAlignment="1">
      <alignment vertical="center"/>
    </xf>
    <xf numFmtId="203" fontId="87" fillId="0" borderId="41" xfId="0" applyNumberFormat="1" applyFont="1" applyBorder="1" applyAlignment="1">
      <alignment horizontal="left" vertical="center" wrapText="1"/>
    </xf>
    <xf numFmtId="203" fontId="87" fillId="0" borderId="42" xfId="0" applyNumberFormat="1" applyFont="1" applyBorder="1" applyAlignment="1">
      <alignment horizontal="center" vertical="center" wrapText="1"/>
    </xf>
    <xf numFmtId="203" fontId="86" fillId="0" borderId="41" xfId="0" applyNumberFormat="1" applyFont="1" applyBorder="1" applyAlignment="1">
      <alignment horizontal="left" vertical="center" wrapText="1"/>
    </xf>
    <xf numFmtId="203" fontId="86" fillId="0" borderId="42" xfId="0" applyNumberFormat="1" applyFont="1" applyBorder="1" applyAlignment="1">
      <alignment horizontal="center" vertical="center" wrapText="1"/>
    </xf>
    <xf numFmtId="0" fontId="87" fillId="0" borderId="0" xfId="868" applyFont="1"/>
    <xf numFmtId="0" fontId="87" fillId="0" borderId="0" xfId="868" applyFont="1" applyFill="1"/>
    <xf numFmtId="0" fontId="87" fillId="0" borderId="0" xfId="0" applyFont="1"/>
    <xf numFmtId="0" fontId="86" fillId="96" borderId="40" xfId="0" applyFont="1" applyFill="1" applyBorder="1" applyAlignment="1">
      <alignment horizontal="center" vertical="center"/>
    </xf>
    <xf numFmtId="0" fontId="86" fillId="96" borderId="45" xfId="0" applyFont="1" applyFill="1" applyBorder="1" applyAlignment="1">
      <alignment horizontal="center" vertical="center"/>
    </xf>
    <xf numFmtId="0" fontId="87" fillId="0" borderId="42" xfId="0" applyFont="1" applyFill="1" applyBorder="1" applyAlignment="1">
      <alignment horizontal="center" vertical="center" wrapText="1"/>
    </xf>
    <xf numFmtId="3" fontId="87" fillId="0" borderId="0" xfId="0" applyNumberFormat="1" applyFont="1" applyAlignment="1">
      <alignment wrapText="1"/>
    </xf>
    <xf numFmtId="0" fontId="87" fillId="0" borderId="0" xfId="0" applyFont="1" applyAlignment="1">
      <alignment wrapText="1"/>
    </xf>
    <xf numFmtId="0" fontId="87" fillId="0" borderId="41" xfId="0" applyFont="1" applyFill="1" applyBorder="1" applyAlignment="1">
      <alignment horizontal="left" vertical="center" wrapText="1"/>
    </xf>
    <xf numFmtId="0" fontId="86" fillId="95" borderId="41" xfId="0" applyFont="1" applyFill="1" applyBorder="1" applyAlignment="1">
      <alignment horizontal="left" vertical="center" wrapText="1"/>
    </xf>
    <xf numFmtId="0" fontId="87" fillId="95" borderId="42" xfId="0" applyFont="1" applyFill="1" applyBorder="1" applyAlignment="1">
      <alignment horizontal="center" vertical="center" wrapText="1"/>
    </xf>
    <xf numFmtId="0" fontId="86" fillId="95" borderId="42" xfId="0" applyFont="1" applyFill="1" applyBorder="1" applyAlignment="1">
      <alignment horizontal="center" vertical="center" wrapText="1"/>
    </xf>
    <xf numFmtId="0" fontId="86" fillId="95" borderId="41" xfId="0" applyFont="1" applyFill="1" applyBorder="1" applyAlignment="1" applyProtection="1">
      <alignment vertical="center" wrapText="1"/>
    </xf>
    <xf numFmtId="0" fontId="87" fillId="95" borderId="41" xfId="0" applyFont="1" applyFill="1" applyBorder="1" applyAlignment="1">
      <alignment horizontal="left" vertical="center" wrapText="1"/>
    </xf>
    <xf numFmtId="3" fontId="68" fillId="0" borderId="0" xfId="0" applyNumberFormat="1" applyFont="1" applyAlignment="1">
      <alignment wrapText="1"/>
    </xf>
    <xf numFmtId="0" fontId="86" fillId="95" borderId="52" xfId="0" applyFont="1" applyFill="1" applyBorder="1" applyAlignment="1">
      <alignment horizontal="left" vertical="center" wrapText="1"/>
    </xf>
    <xf numFmtId="0" fontId="86" fillId="95" borderId="49" xfId="0" applyFont="1" applyFill="1" applyBorder="1" applyAlignment="1">
      <alignment horizontal="center" vertical="center" wrapText="1"/>
    </xf>
    <xf numFmtId="0" fontId="87" fillId="0" borderId="0" xfId="868" applyFont="1" applyAlignment="1"/>
    <xf numFmtId="0" fontId="87" fillId="0" borderId="0" xfId="868" applyFont="1" applyAlignment="1">
      <alignment horizontal="center"/>
    </xf>
    <xf numFmtId="0" fontId="86" fillId="0" borderId="0" xfId="869" applyFont="1" applyFill="1" applyBorder="1"/>
    <xf numFmtId="0" fontId="87" fillId="0" borderId="0" xfId="869" applyFont="1" applyAlignment="1"/>
    <xf numFmtId="3" fontId="87" fillId="0" borderId="0" xfId="869" applyNumberFormat="1" applyFont="1" applyAlignment="1"/>
    <xf numFmtId="0" fontId="87" fillId="0" borderId="0" xfId="0" applyFont="1" applyAlignment="1"/>
    <xf numFmtId="3" fontId="87" fillId="0" borderId="0" xfId="868" applyNumberFormat="1" applyFont="1" applyAlignment="1"/>
    <xf numFmtId="0" fontId="87" fillId="0" borderId="0" xfId="868" applyFont="1" applyFill="1" applyBorder="1"/>
    <xf numFmtId="3" fontId="87" fillId="0" borderId="0" xfId="868" applyNumberFormat="1" applyFont="1" applyFill="1" applyBorder="1"/>
    <xf numFmtId="190" fontId="86" fillId="0" borderId="0" xfId="869" applyNumberFormat="1" applyFont="1" applyFill="1" applyBorder="1" applyAlignment="1">
      <alignment horizontal="center" vertical="center"/>
    </xf>
    <xf numFmtId="3" fontId="87" fillId="0" borderId="0" xfId="869" applyNumberFormat="1" applyFont="1" applyFill="1" applyBorder="1"/>
    <xf numFmtId="0" fontId="87" fillId="0" borderId="0" xfId="869" applyFont="1" applyFill="1" applyBorder="1"/>
    <xf numFmtId="191" fontId="86" fillId="0" borderId="0" xfId="869" applyNumberFormat="1" applyFont="1" applyFill="1" applyBorder="1" applyAlignment="1">
      <alignment horizontal="center" vertical="top"/>
    </xf>
    <xf numFmtId="0" fontId="87" fillId="0" borderId="0" xfId="869" applyFont="1" applyFill="1" applyBorder="1" applyAlignment="1">
      <alignment vertical="center"/>
    </xf>
    <xf numFmtId="3" fontId="87" fillId="0" borderId="0" xfId="869" applyNumberFormat="1" applyFont="1" applyFill="1" applyBorder="1" applyAlignment="1">
      <alignment vertical="center"/>
    </xf>
    <xf numFmtId="3" fontId="86" fillId="0" borderId="0" xfId="869" applyNumberFormat="1" applyFont="1" applyFill="1" applyBorder="1" applyAlignment="1">
      <alignment vertical="center"/>
    </xf>
    <xf numFmtId="0" fontId="90" fillId="0" borderId="0" xfId="869" applyFont="1" applyFill="1"/>
    <xf numFmtId="3" fontId="86" fillId="0" borderId="0" xfId="869" applyNumberFormat="1" applyFont="1" applyFill="1" applyBorder="1" applyAlignment="1">
      <alignment horizontal="right" vertical="center"/>
    </xf>
    <xf numFmtId="0" fontId="87" fillId="0" borderId="0" xfId="0" applyFont="1" applyFill="1" applyBorder="1" applyAlignment="1">
      <alignment horizontal="left" vertical="center" indent="1"/>
    </xf>
    <xf numFmtId="0" fontId="87" fillId="0" borderId="0" xfId="0" applyFont="1" applyFill="1" applyBorder="1" applyAlignment="1">
      <alignment horizontal="left" vertical="center" indent="2"/>
    </xf>
    <xf numFmtId="3" fontId="87" fillId="0" borderId="0" xfId="0" applyNumberFormat="1" applyFont="1" applyFill="1" applyBorder="1" applyAlignment="1">
      <alignment vertical="center"/>
    </xf>
    <xf numFmtId="3" fontId="68" fillId="0" borderId="0" xfId="868" applyNumberFormat="1" applyFont="1" applyFill="1" applyBorder="1"/>
    <xf numFmtId="0" fontId="86" fillId="0" borderId="0" xfId="0" applyFont="1"/>
    <xf numFmtId="0" fontId="87" fillId="0" borderId="25" xfId="0" applyFont="1" applyBorder="1"/>
    <xf numFmtId="0" fontId="91" fillId="0" borderId="0" xfId="0" applyFont="1"/>
    <xf numFmtId="0" fontId="92" fillId="0" borderId="0" xfId="0" applyFont="1"/>
    <xf numFmtId="0" fontId="93" fillId="0" borderId="0" xfId="0" applyFont="1"/>
    <xf numFmtId="0" fontId="93" fillId="0" borderId="0" xfId="0" applyFont="1" applyFill="1"/>
    <xf numFmtId="0" fontId="94" fillId="0" borderId="0" xfId="0" applyFont="1"/>
    <xf numFmtId="0" fontId="93" fillId="0" borderId="0" xfId="0" applyFont="1" applyBorder="1"/>
    <xf numFmtId="183" fontId="93" fillId="0" borderId="0" xfId="0" applyNumberFormat="1" applyFont="1" applyBorder="1"/>
    <xf numFmtId="177" fontId="93" fillId="0" borderId="0" xfId="0" applyNumberFormat="1" applyFont="1"/>
    <xf numFmtId="169" fontId="93" fillId="0" borderId="0" xfId="0" applyNumberFormat="1" applyFont="1" applyFill="1"/>
    <xf numFmtId="0" fontId="94" fillId="0" borderId="0" xfId="0" applyFont="1" applyFill="1" applyBorder="1"/>
    <xf numFmtId="0" fontId="93" fillId="0" borderId="0" xfId="0" applyFont="1" applyFill="1" applyBorder="1"/>
    <xf numFmtId="168" fontId="93" fillId="0" borderId="0" xfId="801" quotePrefix="1" applyNumberFormat="1" applyFont="1" applyBorder="1" applyAlignment="1">
      <alignment horizontal="center"/>
    </xf>
    <xf numFmtId="0" fontId="95" fillId="92" borderId="27" xfId="0" applyFont="1" applyFill="1" applyBorder="1"/>
    <xf numFmtId="0" fontId="96" fillId="92" borderId="28" xfId="0" applyFont="1" applyFill="1" applyBorder="1"/>
    <xf numFmtId="49" fontId="95" fillId="92" borderId="28" xfId="801" applyNumberFormat="1" applyFont="1" applyFill="1" applyBorder="1" applyAlignment="1">
      <alignment horizontal="center"/>
    </xf>
    <xf numFmtId="168" fontId="92" fillId="0" borderId="0" xfId="801" quotePrefix="1" applyNumberFormat="1" applyFont="1" applyFill="1" applyAlignment="1">
      <alignment horizontal="center"/>
    </xf>
    <xf numFmtId="168" fontId="92" fillId="0" borderId="0" xfId="801" quotePrefix="1" applyNumberFormat="1" applyFont="1" applyFill="1" applyBorder="1" applyAlignment="1">
      <alignment horizontal="center"/>
    </xf>
    <xf numFmtId="0" fontId="93" fillId="0" borderId="0" xfId="0" applyFont="1" applyBorder="1" applyAlignment="1">
      <alignment horizontal="center"/>
    </xf>
    <xf numFmtId="14" fontId="93" fillId="0" borderId="0" xfId="0" applyNumberFormat="1" applyFont="1" applyBorder="1" applyAlignment="1">
      <alignment horizontal="center"/>
    </xf>
    <xf numFmtId="0" fontId="92" fillId="0" borderId="30" xfId="0" applyFont="1" applyBorder="1"/>
    <xf numFmtId="0" fontId="93" fillId="0" borderId="31" xfId="0" applyFont="1" applyBorder="1"/>
    <xf numFmtId="0" fontId="93" fillId="0" borderId="64" xfId="0" applyFont="1" applyBorder="1"/>
    <xf numFmtId="0" fontId="93" fillId="0" borderId="32" xfId="0" applyFont="1" applyBorder="1"/>
    <xf numFmtId="0" fontId="92" fillId="0" borderId="24" xfId="0" applyFont="1" applyBorder="1"/>
    <xf numFmtId="169" fontId="93" fillId="0" borderId="0" xfId="0" applyNumberFormat="1" applyFont="1"/>
    <xf numFmtId="182" fontId="94" fillId="0" borderId="0" xfId="0" applyNumberFormat="1" applyFont="1" applyFill="1" applyBorder="1"/>
    <xf numFmtId="0" fontId="93" fillId="0" borderId="30" xfId="0" applyFont="1" applyBorder="1"/>
    <xf numFmtId="0" fontId="93" fillId="0" borderId="31" xfId="0" applyFont="1" applyBorder="1" applyAlignment="1">
      <alignment horizontal="center"/>
    </xf>
    <xf numFmtId="168" fontId="93" fillId="0" borderId="31" xfId="801" applyNumberFormat="1" applyFont="1" applyBorder="1"/>
    <xf numFmtId="168" fontId="93" fillId="0" borderId="64" xfId="801" applyNumberFormat="1" applyFont="1" applyBorder="1"/>
    <xf numFmtId="168" fontId="93" fillId="0" borderId="32" xfId="801" applyNumberFormat="1" applyFont="1" applyBorder="1"/>
    <xf numFmtId="178" fontId="93" fillId="0" borderId="0" xfId="801" applyNumberFormat="1" applyFont="1"/>
    <xf numFmtId="0" fontId="93" fillId="0" borderId="25" xfId="0" applyFont="1" applyBorder="1"/>
    <xf numFmtId="169" fontId="93" fillId="0" borderId="25" xfId="0" applyNumberFormat="1" applyFont="1" applyBorder="1"/>
    <xf numFmtId="2" fontId="97" fillId="0" borderId="0" xfId="0" applyNumberFormat="1" applyFont="1" applyFill="1"/>
    <xf numFmtId="2" fontId="92" fillId="0" borderId="0" xfId="0" applyNumberFormat="1" applyFont="1" applyFill="1" applyBorder="1"/>
    <xf numFmtId="187" fontId="93" fillId="0" borderId="0" xfId="913" applyNumberFormat="1" applyFont="1"/>
    <xf numFmtId="187" fontId="94" fillId="0" borderId="0" xfId="913" applyNumberFormat="1" applyFont="1" applyFill="1" applyBorder="1"/>
    <xf numFmtId="0" fontId="95" fillId="92" borderId="30" xfId="0" applyFont="1" applyFill="1" applyBorder="1"/>
    <xf numFmtId="0" fontId="96" fillId="92" borderId="31" xfId="0" applyFont="1" applyFill="1" applyBorder="1"/>
    <xf numFmtId="168" fontId="95" fillId="92" borderId="31" xfId="801" applyNumberFormat="1" applyFont="1" applyFill="1" applyBorder="1"/>
    <xf numFmtId="168" fontId="95" fillId="92" borderId="64" xfId="801" applyNumberFormat="1" applyFont="1" applyFill="1" applyBorder="1"/>
    <xf numFmtId="168" fontId="95" fillId="92" borderId="32" xfId="801" applyNumberFormat="1" applyFont="1" applyFill="1" applyBorder="1"/>
    <xf numFmtId="168" fontId="93" fillId="0" borderId="0" xfId="801" applyNumberFormat="1" applyFont="1"/>
    <xf numFmtId="0" fontId="92" fillId="0" borderId="0" xfId="0" applyFont="1" applyFill="1" applyBorder="1"/>
    <xf numFmtId="168" fontId="92" fillId="0" borderId="0" xfId="801" applyNumberFormat="1" applyFont="1"/>
    <xf numFmtId="0" fontId="93" fillId="0" borderId="25" xfId="0" applyFont="1" applyFill="1" applyBorder="1"/>
    <xf numFmtId="2" fontId="93" fillId="0" borderId="0" xfId="0" applyNumberFormat="1" applyFont="1"/>
    <xf numFmtId="0" fontId="95" fillId="92" borderId="33" xfId="0" applyFont="1" applyFill="1" applyBorder="1"/>
    <xf numFmtId="0" fontId="96" fillId="92" borderId="34" xfId="0" applyFont="1" applyFill="1" applyBorder="1"/>
    <xf numFmtId="168" fontId="95" fillId="92" borderId="34" xfId="801" applyNumberFormat="1" applyFont="1" applyFill="1" applyBorder="1"/>
    <xf numFmtId="168" fontId="95" fillId="92" borderId="65" xfId="801" applyNumberFormat="1" applyFont="1" applyFill="1" applyBorder="1"/>
    <xf numFmtId="168" fontId="95" fillId="92" borderId="35" xfId="801" applyNumberFormat="1" applyFont="1" applyFill="1" applyBorder="1"/>
    <xf numFmtId="2" fontId="97" fillId="0" borderId="0" xfId="913" applyNumberFormat="1" applyFont="1" applyFill="1"/>
    <xf numFmtId="10" fontId="92" fillId="0" borderId="0" xfId="0" applyNumberFormat="1" applyFont="1" applyFill="1" applyBorder="1"/>
    <xf numFmtId="0" fontId="93" fillId="0" borderId="36" xfId="0" applyFont="1" applyBorder="1"/>
    <xf numFmtId="199" fontId="71" fillId="0" borderId="0" xfId="801" applyNumberFormat="1" applyFont="1" applyBorder="1"/>
    <xf numFmtId="49" fontId="95" fillId="92" borderId="28" xfId="801" quotePrefix="1" applyNumberFormat="1" applyFont="1" applyFill="1" applyBorder="1" applyAlignment="1">
      <alignment horizontal="center"/>
    </xf>
    <xf numFmtId="49" fontId="95" fillId="92" borderId="29" xfId="801" applyNumberFormat="1" applyFont="1" applyFill="1" applyBorder="1" applyAlignment="1">
      <alignment horizontal="center"/>
    </xf>
    <xf numFmtId="0" fontId="92" fillId="0" borderId="30" xfId="0" applyFont="1" applyFill="1" applyBorder="1"/>
    <xf numFmtId="0" fontId="92" fillId="0" borderId="31" xfId="0" applyFont="1" applyFill="1" applyBorder="1" applyAlignment="1">
      <alignment horizontal="center"/>
    </xf>
    <xf numFmtId="185" fontId="93" fillId="0" borderId="31" xfId="801" applyNumberFormat="1" applyFont="1" applyFill="1" applyBorder="1"/>
    <xf numFmtId="185" fontId="93" fillId="0" borderId="32" xfId="801" applyNumberFormat="1" applyFont="1" applyFill="1" applyBorder="1"/>
    <xf numFmtId="0" fontId="98" fillId="0" borderId="0" xfId="0" applyFont="1" applyFill="1" applyBorder="1"/>
    <xf numFmtId="0" fontId="93" fillId="0" borderId="30" xfId="0" applyFont="1" applyFill="1" applyBorder="1"/>
    <xf numFmtId="0" fontId="93" fillId="0" borderId="31" xfId="0" applyFont="1" applyFill="1" applyBorder="1" applyAlignment="1">
      <alignment horizontal="center"/>
    </xf>
    <xf numFmtId="168" fontId="94" fillId="0" borderId="0" xfId="0" applyNumberFormat="1" applyFont="1" applyFill="1" applyBorder="1"/>
    <xf numFmtId="169" fontId="93" fillId="0" borderId="0" xfId="0" applyNumberFormat="1" applyFont="1" applyFill="1" applyBorder="1"/>
    <xf numFmtId="185" fontId="92" fillId="0" borderId="31" xfId="801" applyNumberFormat="1" applyFont="1" applyFill="1" applyBorder="1"/>
    <xf numFmtId="185" fontId="92" fillId="0" borderId="32" xfId="801" applyNumberFormat="1" applyFont="1" applyFill="1" applyBorder="1"/>
    <xf numFmtId="175" fontId="94" fillId="0" borderId="0" xfId="801" applyNumberFormat="1" applyFont="1" applyFill="1" applyBorder="1"/>
    <xf numFmtId="169" fontId="93" fillId="0" borderId="25" xfId="0" applyNumberFormat="1" applyFont="1" applyFill="1" applyBorder="1"/>
    <xf numFmtId="170" fontId="92" fillId="0" borderId="0" xfId="0" applyNumberFormat="1" applyFont="1" applyFill="1" applyBorder="1"/>
    <xf numFmtId="172" fontId="93" fillId="0" borderId="0" xfId="0" applyNumberFormat="1" applyFont="1" applyFill="1"/>
    <xf numFmtId="187" fontId="93" fillId="0" borderId="0" xfId="913" applyNumberFormat="1" applyFont="1" applyFill="1" applyBorder="1"/>
    <xf numFmtId="10" fontId="92" fillId="0" borderId="0" xfId="0" applyNumberFormat="1" applyFont="1" applyFill="1"/>
    <xf numFmtId="0" fontId="93" fillId="0" borderId="33" xfId="0" applyFont="1" applyFill="1" applyBorder="1"/>
    <xf numFmtId="0" fontId="93" fillId="0" borderId="34" xfId="0" applyFont="1" applyFill="1" applyBorder="1" applyAlignment="1">
      <alignment horizontal="center"/>
    </xf>
    <xf numFmtId="185" fontId="93" fillId="0" borderId="34" xfId="801" applyNumberFormat="1" applyFont="1" applyFill="1" applyBorder="1"/>
    <xf numFmtId="185" fontId="93" fillId="0" borderId="43" xfId="801" applyNumberFormat="1" applyFont="1" applyFill="1" applyBorder="1"/>
    <xf numFmtId="0" fontId="99" fillId="0" borderId="24" xfId="0" applyFont="1" applyBorder="1"/>
    <xf numFmtId="0" fontId="100" fillId="0" borderId="0" xfId="0" applyFont="1"/>
    <xf numFmtId="169" fontId="100" fillId="0" borderId="0" xfId="0" applyNumberFormat="1" applyFont="1"/>
    <xf numFmtId="169" fontId="100" fillId="0" borderId="0" xfId="0" applyNumberFormat="1" applyFont="1" applyFill="1"/>
    <xf numFmtId="0" fontId="100" fillId="0" borderId="0" xfId="0" applyFont="1" applyFill="1" applyBorder="1"/>
    <xf numFmtId="168" fontId="100" fillId="0" borderId="0" xfId="801" applyNumberFormat="1" applyFont="1"/>
    <xf numFmtId="185" fontId="93" fillId="0" borderId="0" xfId="801" applyNumberFormat="1" applyFont="1" applyBorder="1"/>
    <xf numFmtId="187" fontId="93" fillId="0" borderId="0" xfId="913" applyNumberFormat="1" applyFont="1" applyBorder="1"/>
    <xf numFmtId="188" fontId="100" fillId="0" borderId="0" xfId="0" applyNumberFormat="1" applyFont="1"/>
    <xf numFmtId="175" fontId="93" fillId="0" borderId="0" xfId="801" applyNumberFormat="1" applyFont="1"/>
    <xf numFmtId="168" fontId="95" fillId="92" borderId="28" xfId="801" quotePrefix="1" applyNumberFormat="1" applyFont="1" applyFill="1" applyBorder="1" applyAlignment="1">
      <alignment horizontal="center"/>
    </xf>
    <xf numFmtId="168" fontId="95" fillId="92" borderId="29" xfId="801" quotePrefix="1" applyNumberFormat="1" applyFont="1" applyFill="1" applyBorder="1" applyAlignment="1">
      <alignment horizontal="center"/>
    </xf>
    <xf numFmtId="185" fontId="93" fillId="0" borderId="31" xfId="801" applyNumberFormat="1" applyFont="1" applyBorder="1"/>
    <xf numFmtId="185" fontId="93" fillId="0" borderId="32" xfId="801" applyNumberFormat="1" applyFont="1" applyBorder="1"/>
    <xf numFmtId="169" fontId="100" fillId="0" borderId="0" xfId="0" applyNumberFormat="1" applyFont="1" applyFill="1" applyBorder="1"/>
    <xf numFmtId="181" fontId="93" fillId="0" borderId="0" xfId="0" applyNumberFormat="1" applyFont="1"/>
    <xf numFmtId="186" fontId="93" fillId="0" borderId="0" xfId="913" applyNumberFormat="1" applyFont="1"/>
    <xf numFmtId="0" fontId="100" fillId="0" borderId="0" xfId="0" applyFont="1" applyFill="1"/>
    <xf numFmtId="173" fontId="92" fillId="0" borderId="0" xfId="0" applyNumberFormat="1" applyFont="1" applyFill="1"/>
    <xf numFmtId="185" fontId="92" fillId="0" borderId="31" xfId="801" applyNumberFormat="1" applyFont="1" applyBorder="1"/>
    <xf numFmtId="185" fontId="92" fillId="0" borderId="32" xfId="801" applyNumberFormat="1" applyFont="1" applyBorder="1"/>
    <xf numFmtId="0" fontId="99" fillId="0" borderId="0" xfId="0" applyFont="1"/>
    <xf numFmtId="169" fontId="99" fillId="0" borderId="0" xfId="0" applyNumberFormat="1" applyFont="1"/>
    <xf numFmtId="2" fontId="100" fillId="0" borderId="0" xfId="0" applyNumberFormat="1" applyFont="1" applyFill="1"/>
    <xf numFmtId="10" fontId="100" fillId="0" borderId="0" xfId="913" applyNumberFormat="1" applyFont="1"/>
    <xf numFmtId="0" fontId="96" fillId="92" borderId="34" xfId="0" applyFont="1" applyFill="1" applyBorder="1" applyAlignment="1">
      <alignment horizontal="center"/>
    </xf>
    <xf numFmtId="185" fontId="95" fillId="92" borderId="34" xfId="801" applyNumberFormat="1" applyFont="1" applyFill="1" applyBorder="1"/>
    <xf numFmtId="185" fontId="95" fillId="92" borderId="35" xfId="801" applyNumberFormat="1" applyFont="1" applyFill="1" applyBorder="1"/>
    <xf numFmtId="172" fontId="92" fillId="0" borderId="0" xfId="0" applyNumberFormat="1" applyFont="1" applyFill="1" applyBorder="1"/>
    <xf numFmtId="2" fontId="100" fillId="0" borderId="0" xfId="913" applyNumberFormat="1" applyFont="1" applyFill="1"/>
    <xf numFmtId="10" fontId="100" fillId="0" borderId="0" xfId="913" applyNumberFormat="1" applyFont="1" applyFill="1" applyBorder="1"/>
    <xf numFmtId="0" fontId="93" fillId="93" borderId="27" xfId="0" applyFont="1" applyFill="1" applyBorder="1"/>
    <xf numFmtId="168" fontId="93" fillId="93" borderId="29" xfId="801" applyNumberFormat="1" applyFont="1" applyFill="1" applyBorder="1"/>
    <xf numFmtId="0" fontId="93" fillId="93" borderId="30" xfId="0" applyFont="1" applyFill="1" applyBorder="1"/>
    <xf numFmtId="49" fontId="93" fillId="93" borderId="31" xfId="801" applyNumberFormat="1" applyFont="1" applyFill="1" applyBorder="1" applyAlignment="1">
      <alignment horizontal="left"/>
    </xf>
    <xf numFmtId="168" fontId="93" fillId="93" borderId="32" xfId="801" applyNumberFormat="1" applyFont="1" applyFill="1" applyBorder="1"/>
    <xf numFmtId="169" fontId="92" fillId="0" borderId="0" xfId="0" applyNumberFormat="1" applyFont="1"/>
    <xf numFmtId="185" fontId="93" fillId="93" borderId="32" xfId="801" applyNumberFormat="1" applyFont="1" applyFill="1" applyBorder="1"/>
    <xf numFmtId="10" fontId="93" fillId="0" borderId="0" xfId="913" applyNumberFormat="1" applyFont="1" applyFill="1"/>
    <xf numFmtId="0" fontId="93" fillId="93" borderId="33" xfId="0" applyFont="1" applyFill="1" applyBorder="1"/>
    <xf numFmtId="49" fontId="93" fillId="93" borderId="34" xfId="801" applyNumberFormat="1" applyFont="1" applyFill="1" applyBorder="1" applyAlignment="1">
      <alignment horizontal="left"/>
    </xf>
    <xf numFmtId="185" fontId="93" fillId="93" borderId="35" xfId="801" applyNumberFormat="1" applyFont="1" applyFill="1" applyBorder="1"/>
    <xf numFmtId="10" fontId="93" fillId="0" borderId="0" xfId="913" applyNumberFormat="1" applyFont="1"/>
    <xf numFmtId="49" fontId="95" fillId="92" borderId="27" xfId="801" applyNumberFormat="1" applyFont="1" applyFill="1" applyBorder="1" applyAlignment="1">
      <alignment horizontal="left"/>
    </xf>
    <xf numFmtId="10" fontId="94" fillId="0" borderId="0" xfId="0" applyNumberFormat="1" applyFont="1" applyFill="1"/>
    <xf numFmtId="0" fontId="93" fillId="0" borderId="31" xfId="0" applyFont="1" applyFill="1" applyBorder="1"/>
    <xf numFmtId="0" fontId="93" fillId="0" borderId="32" xfId="0" applyFont="1" applyFill="1" applyBorder="1"/>
    <xf numFmtId="168" fontId="93" fillId="0" borderId="0" xfId="0" applyNumberFormat="1" applyFont="1" applyFill="1"/>
    <xf numFmtId="172" fontId="93" fillId="0" borderId="0" xfId="0" applyNumberFormat="1" applyFont="1" applyFill="1" applyBorder="1"/>
    <xf numFmtId="169" fontId="94" fillId="0" borderId="0" xfId="0" applyNumberFormat="1" applyFont="1" applyFill="1"/>
    <xf numFmtId="173" fontId="92" fillId="0" borderId="0" xfId="0" applyNumberFormat="1" applyFont="1" applyFill="1" applyBorder="1"/>
    <xf numFmtId="0" fontId="96" fillId="92" borderId="33" xfId="0" applyFont="1" applyFill="1" applyBorder="1"/>
    <xf numFmtId="182" fontId="95" fillId="92" borderId="34" xfId="0" applyNumberFormat="1" applyFont="1" applyFill="1" applyBorder="1"/>
    <xf numFmtId="182" fontId="95" fillId="92" borderId="35" xfId="0" applyNumberFormat="1" applyFont="1" applyFill="1" applyBorder="1"/>
    <xf numFmtId="182" fontId="92" fillId="0" borderId="0" xfId="0" applyNumberFormat="1" applyFont="1"/>
    <xf numFmtId="169" fontId="93" fillId="94" borderId="0" xfId="0" applyNumberFormat="1" applyFont="1" applyFill="1"/>
    <xf numFmtId="168" fontId="93" fillId="0" borderId="0" xfId="793" applyNumberFormat="1" applyFont="1"/>
    <xf numFmtId="175" fontId="93" fillId="0" borderId="0" xfId="801" applyNumberFormat="1" applyFont="1" applyFill="1"/>
    <xf numFmtId="168" fontId="95" fillId="92" borderId="28" xfId="801" quotePrefix="1" applyNumberFormat="1" applyFont="1" applyFill="1" applyBorder="1" applyAlignment="1">
      <alignment horizontal="center" vertical="center"/>
    </xf>
    <xf numFmtId="171" fontId="93" fillId="0" borderId="25" xfId="0" applyNumberFormat="1" applyFont="1" applyFill="1" applyBorder="1"/>
    <xf numFmtId="176" fontId="93" fillId="0" borderId="25" xfId="801" applyNumberFormat="1" applyFont="1" applyBorder="1"/>
    <xf numFmtId="189" fontId="93" fillId="0" borderId="31" xfId="0" applyNumberFormat="1" applyFont="1" applyBorder="1" applyAlignment="1">
      <alignment horizontal="right"/>
    </xf>
    <xf numFmtId="189" fontId="93" fillId="0" borderId="0" xfId="0" applyNumberFormat="1" applyFont="1"/>
    <xf numFmtId="4" fontId="93" fillId="94" borderId="0" xfId="0" applyNumberFormat="1" applyFont="1" applyFill="1"/>
    <xf numFmtId="171" fontId="93" fillId="0" borderId="0" xfId="0" applyNumberFormat="1" applyFont="1" applyFill="1" applyBorder="1"/>
    <xf numFmtId="184" fontId="93" fillId="0" borderId="0" xfId="0" applyNumberFormat="1" applyFont="1"/>
    <xf numFmtId="10" fontId="101" fillId="0" borderId="0" xfId="0" applyNumberFormat="1" applyFont="1" applyFill="1"/>
    <xf numFmtId="189" fontId="92" fillId="0" borderId="31" xfId="0" applyNumberFormat="1" applyFont="1" applyBorder="1" applyAlignment="1">
      <alignment horizontal="right"/>
    </xf>
    <xf numFmtId="0" fontId="102" fillId="0" borderId="0" xfId="0" applyFont="1" applyBorder="1"/>
    <xf numFmtId="0" fontId="103" fillId="0" borderId="0" xfId="0" applyFont="1" applyBorder="1"/>
    <xf numFmtId="169" fontId="103" fillId="0" borderId="0" xfId="0" applyNumberFormat="1" applyFont="1" applyBorder="1"/>
    <xf numFmtId="169" fontId="103" fillId="0" borderId="0" xfId="0" applyNumberFormat="1" applyFont="1" applyFill="1" applyBorder="1"/>
    <xf numFmtId="168" fontId="93" fillId="0" borderId="0" xfId="801" applyNumberFormat="1" applyFont="1" applyFill="1" applyBorder="1"/>
    <xf numFmtId="179" fontId="94" fillId="0" borderId="0" xfId="0" applyNumberFormat="1" applyFont="1" applyFill="1" applyBorder="1"/>
    <xf numFmtId="168" fontId="93" fillId="0" borderId="0" xfId="801" applyNumberFormat="1" applyFont="1" applyBorder="1"/>
    <xf numFmtId="2" fontId="103" fillId="0" borderId="0" xfId="0" applyNumberFormat="1" applyFont="1" applyFill="1" applyBorder="1"/>
    <xf numFmtId="10" fontId="93" fillId="0" borderId="0" xfId="913" applyNumberFormat="1" applyFont="1" applyBorder="1"/>
    <xf numFmtId="10" fontId="94" fillId="0" borderId="0" xfId="913" applyNumberFormat="1" applyFont="1" applyFill="1" applyBorder="1"/>
    <xf numFmtId="10" fontId="103" fillId="0" borderId="0" xfId="0" applyNumberFormat="1" applyFont="1" applyFill="1" applyBorder="1"/>
    <xf numFmtId="0" fontId="103" fillId="0" borderId="0" xfId="0" quotePrefix="1" applyFont="1" applyBorder="1"/>
    <xf numFmtId="174" fontId="92" fillId="0" borderId="0" xfId="0" applyNumberFormat="1" applyFont="1" applyFill="1" applyBorder="1"/>
    <xf numFmtId="0" fontId="92" fillId="0" borderId="0" xfId="0" applyFont="1" applyBorder="1"/>
    <xf numFmtId="169" fontId="93" fillId="0" borderId="0" xfId="0" applyNumberFormat="1" applyFont="1" applyBorder="1"/>
    <xf numFmtId="180" fontId="93" fillId="0" borderId="0" xfId="0" applyNumberFormat="1" applyFont="1" applyFill="1"/>
    <xf numFmtId="10" fontId="93" fillId="0" borderId="0" xfId="0" applyNumberFormat="1" applyFont="1" applyFill="1"/>
    <xf numFmtId="0" fontId="104" fillId="0" borderId="30" xfId="0" applyFont="1" applyBorder="1"/>
    <xf numFmtId="189" fontId="104" fillId="0" borderId="31" xfId="0" applyNumberFormat="1" applyFont="1" applyBorder="1" applyAlignment="1">
      <alignment horizontal="right"/>
    </xf>
    <xf numFmtId="0" fontId="92" fillId="0" borderId="33" xfId="0" applyFont="1" applyBorder="1"/>
    <xf numFmtId="189" fontId="92" fillId="0" borderId="34" xfId="0" applyNumberFormat="1" applyFont="1" applyBorder="1" applyAlignment="1">
      <alignment horizontal="right"/>
    </xf>
    <xf numFmtId="197" fontId="93" fillId="0" borderId="0" xfId="793" applyNumberFormat="1" applyFont="1"/>
    <xf numFmtId="4" fontId="93" fillId="0" borderId="0" xfId="0" applyNumberFormat="1" applyFont="1"/>
    <xf numFmtId="4" fontId="93" fillId="0" borderId="0" xfId="0" applyNumberFormat="1" applyFont="1" applyFill="1"/>
    <xf numFmtId="183" fontId="93" fillId="0" borderId="0" xfId="0" applyNumberFormat="1" applyFont="1" applyFill="1"/>
    <xf numFmtId="0" fontId="105" fillId="0" borderId="0" xfId="1664"/>
    <xf numFmtId="0" fontId="81" fillId="0" borderId="37" xfId="0" applyFont="1" applyBorder="1" applyAlignment="1">
      <alignment horizontal="center"/>
    </xf>
    <xf numFmtId="203" fontId="72" fillId="0" borderId="0" xfId="0" applyNumberFormat="1" applyFont="1" applyAlignment="1">
      <alignment horizontal="right" vertical="center"/>
    </xf>
    <xf numFmtId="203" fontId="73" fillId="0" borderId="0" xfId="0" applyNumberFormat="1" applyFont="1" applyAlignment="1">
      <alignment horizontal="right" vertical="center"/>
    </xf>
    <xf numFmtId="203" fontId="73" fillId="0" borderId="0" xfId="0" applyNumberFormat="1" applyFont="1" applyFill="1" applyAlignment="1">
      <alignment horizontal="right" vertical="center"/>
    </xf>
    <xf numFmtId="203" fontId="72" fillId="0" borderId="37" xfId="0" applyNumberFormat="1" applyFont="1" applyBorder="1" applyAlignment="1">
      <alignment horizontal="right" vertical="center"/>
    </xf>
    <xf numFmtId="0" fontId="87" fillId="98" borderId="0" xfId="0" applyFont="1" applyFill="1"/>
    <xf numFmtId="0" fontId="68" fillId="98" borderId="0" xfId="0" applyFont="1" applyFill="1" applyAlignment="1">
      <alignment horizontal="center"/>
    </xf>
    <xf numFmtId="164" fontId="70" fillId="0" borderId="0" xfId="1660" applyNumberFormat="1" applyFont="1"/>
    <xf numFmtId="0" fontId="69" fillId="0" borderId="0" xfId="0" applyFont="1" applyAlignment="1">
      <alignment horizontal="center" vertical="center"/>
    </xf>
    <xf numFmtId="17" fontId="69" fillId="0" borderId="0" xfId="0" applyNumberFormat="1" applyFont="1" applyAlignment="1">
      <alignment horizontal="center" vertical="center"/>
    </xf>
    <xf numFmtId="0" fontId="86" fillId="0" borderId="41" xfId="0" applyFont="1" applyFill="1" applyBorder="1" applyAlignment="1">
      <alignment horizontal="left" vertical="center" wrapText="1"/>
    </xf>
    <xf numFmtId="190" fontId="86" fillId="72" borderId="74" xfId="869" applyNumberFormat="1" applyFont="1" applyFill="1" applyBorder="1" applyAlignment="1">
      <alignment horizontal="center" vertical="center"/>
    </xf>
    <xf numFmtId="190" fontId="86" fillId="72" borderId="75" xfId="869" applyNumberFormat="1" applyFont="1" applyFill="1" applyBorder="1" applyAlignment="1">
      <alignment horizontal="center" vertical="center"/>
    </xf>
    <xf numFmtId="203" fontId="87" fillId="0" borderId="0" xfId="0" applyNumberFormat="1" applyFont="1" applyAlignment="1">
      <alignment wrapText="1"/>
    </xf>
    <xf numFmtId="203" fontId="93" fillId="0" borderId="55" xfId="869" applyNumberFormat="1" applyFont="1" applyBorder="1" applyAlignment="1">
      <alignment vertical="center"/>
    </xf>
    <xf numFmtId="204" fontId="87" fillId="0" borderId="1" xfId="869" applyNumberFormat="1" applyFont="1" applyBorder="1" applyAlignment="1">
      <alignment vertical="center"/>
    </xf>
    <xf numFmtId="0" fontId="93" fillId="0" borderId="41" xfId="842" applyFont="1" applyBorder="1" applyAlignment="1">
      <alignment horizontal="left" vertical="center" wrapText="1"/>
    </xf>
    <xf numFmtId="200" fontId="106" fillId="0" borderId="0" xfId="0" applyNumberFormat="1" applyFont="1"/>
    <xf numFmtId="164" fontId="87" fillId="0" borderId="0" xfId="868" applyNumberFormat="1" applyFont="1" applyFill="1" applyBorder="1" applyAlignment="1">
      <alignment vertical="center"/>
    </xf>
    <xf numFmtId="164" fontId="89" fillId="99" borderId="76" xfId="869" applyNumberFormat="1" applyFont="1" applyFill="1" applyBorder="1" applyAlignment="1">
      <alignment vertical="center"/>
    </xf>
    <xf numFmtId="164" fontId="88" fillId="99" borderId="76" xfId="869" applyNumberFormat="1" applyFont="1" applyFill="1" applyBorder="1" applyAlignment="1">
      <alignment vertical="center"/>
    </xf>
    <xf numFmtId="164" fontId="89" fillId="99" borderId="76" xfId="868" applyNumberFormat="1" applyFont="1" applyFill="1" applyBorder="1" applyAlignment="1">
      <alignment vertical="center"/>
    </xf>
    <xf numFmtId="3" fontId="89" fillId="0" borderId="0" xfId="869" applyNumberFormat="1" applyFont="1" applyFill="1" applyBorder="1"/>
    <xf numFmtId="201" fontId="89" fillId="0" borderId="0" xfId="913" applyNumberFormat="1" applyFont="1" applyFill="1" applyBorder="1" applyAlignment="1">
      <alignment vertical="center"/>
    </xf>
    <xf numFmtId="164" fontId="87" fillId="0" borderId="1" xfId="869" applyNumberFormat="1" applyFont="1" applyBorder="1" applyAlignment="1">
      <alignment vertical="center"/>
    </xf>
    <xf numFmtId="164" fontId="87" fillId="0" borderId="46" xfId="869" applyNumberFormat="1" applyFont="1" applyBorder="1" applyAlignment="1">
      <alignment vertical="center"/>
    </xf>
    <xf numFmtId="164" fontId="86" fillId="72" borderId="1" xfId="869" applyNumberFormat="1" applyFont="1" applyFill="1" applyBorder="1" applyAlignment="1">
      <alignment vertical="center"/>
    </xf>
    <xf numFmtId="164" fontId="86" fillId="72" borderId="46" xfId="869" applyNumberFormat="1" applyFont="1" applyFill="1" applyBorder="1" applyAlignment="1">
      <alignment vertical="center"/>
    </xf>
    <xf numFmtId="164" fontId="86" fillId="72" borderId="1" xfId="869" applyNumberFormat="1" applyFont="1" applyFill="1" applyBorder="1" applyAlignment="1">
      <alignment horizontal="right" vertical="center"/>
    </xf>
    <xf numFmtId="164" fontId="86" fillId="72" borderId="46" xfId="869" applyNumberFormat="1" applyFont="1" applyFill="1" applyBorder="1" applyAlignment="1">
      <alignment horizontal="right" vertical="center"/>
    </xf>
    <xf numFmtId="164" fontId="86" fillId="0" borderId="1" xfId="869" applyNumberFormat="1" applyFont="1" applyBorder="1" applyAlignment="1">
      <alignment vertical="center"/>
    </xf>
    <xf numFmtId="164" fontId="86" fillId="0" borderId="46" xfId="869" applyNumberFormat="1" applyFont="1" applyBorder="1" applyAlignment="1">
      <alignment vertical="center"/>
    </xf>
    <xf numFmtId="164" fontId="86" fillId="72" borderId="47" xfId="869" applyNumberFormat="1" applyFont="1" applyFill="1" applyBorder="1" applyAlignment="1">
      <alignment vertical="center"/>
    </xf>
    <xf numFmtId="164" fontId="86" fillId="72" borderId="48" xfId="869" applyNumberFormat="1" applyFont="1" applyFill="1" applyBorder="1" applyAlignment="1">
      <alignment vertical="center"/>
    </xf>
    <xf numFmtId="164" fontId="86" fillId="0" borderId="59" xfId="869" applyNumberFormat="1" applyFont="1" applyBorder="1" applyAlignment="1">
      <alignment vertical="center"/>
    </xf>
    <xf numFmtId="164" fontId="86" fillId="0" borderId="68" xfId="869" applyNumberFormat="1" applyFont="1" applyBorder="1" applyAlignment="1">
      <alignment vertical="center"/>
    </xf>
    <xf numFmtId="164" fontId="87" fillId="0" borderId="0" xfId="868" applyNumberFormat="1" applyFont="1" applyAlignment="1"/>
    <xf numFmtId="201" fontId="89" fillId="0" borderId="0" xfId="868" applyNumberFormat="1" applyFont="1" applyAlignment="1">
      <alignment vertical="center"/>
    </xf>
    <xf numFmtId="201" fontId="89" fillId="0" borderId="0" xfId="868" applyNumberFormat="1" applyFont="1" applyAlignment="1">
      <alignment horizontal="center" vertical="center"/>
    </xf>
    <xf numFmtId="164" fontId="87" fillId="0" borderId="0" xfId="868" applyNumberFormat="1" applyFont="1" applyFill="1"/>
    <xf numFmtId="164" fontId="88" fillId="99" borderId="86" xfId="869" applyNumberFormat="1" applyFont="1" applyFill="1" applyBorder="1" applyAlignment="1">
      <alignment horizontal="center" vertical="center"/>
    </xf>
    <xf numFmtId="201" fontId="88" fillId="99" borderId="87" xfId="869" applyNumberFormat="1" applyFont="1" applyFill="1" applyBorder="1" applyAlignment="1">
      <alignment horizontal="center" vertical="center"/>
    </xf>
    <xf numFmtId="201" fontId="89" fillId="99" borderId="77" xfId="913" applyNumberFormat="1" applyFont="1" applyFill="1" applyBorder="1" applyAlignment="1">
      <alignment vertical="center"/>
    </xf>
    <xf numFmtId="164" fontId="88" fillId="99" borderId="80" xfId="869" applyNumberFormat="1" applyFont="1" applyFill="1" applyBorder="1" applyAlignment="1">
      <alignment vertical="center"/>
    </xf>
    <xf numFmtId="201" fontId="88" fillId="99" borderId="81" xfId="913" applyNumberFormat="1" applyFont="1" applyFill="1" applyBorder="1" applyAlignment="1">
      <alignment vertical="center"/>
    </xf>
    <xf numFmtId="201" fontId="89" fillId="99" borderId="77" xfId="869" applyNumberFormat="1" applyFont="1" applyFill="1" applyBorder="1" applyAlignment="1">
      <alignment vertical="center"/>
    </xf>
    <xf numFmtId="164" fontId="89" fillId="99" borderId="78" xfId="869" applyNumberFormat="1" applyFont="1" applyFill="1" applyBorder="1" applyAlignment="1">
      <alignment vertical="center"/>
    </xf>
    <xf numFmtId="201" fontId="89" fillId="99" borderId="79" xfId="869" applyNumberFormat="1" applyFont="1" applyFill="1" applyBorder="1" applyAlignment="1">
      <alignment vertical="center"/>
    </xf>
    <xf numFmtId="201" fontId="88" fillId="99" borderId="81" xfId="869" applyNumberFormat="1" applyFont="1" applyFill="1" applyBorder="1" applyAlignment="1">
      <alignment vertical="center"/>
    </xf>
    <xf numFmtId="164" fontId="88" fillId="99" borderId="82" xfId="869" applyNumberFormat="1" applyFont="1" applyFill="1" applyBorder="1" applyAlignment="1">
      <alignment horizontal="center" vertical="center"/>
    </xf>
    <xf numFmtId="201" fontId="88" fillId="99" borderId="83" xfId="0" applyNumberFormat="1" applyFont="1" applyFill="1" applyBorder="1" applyAlignment="1">
      <alignment horizontal="center" vertical="center"/>
    </xf>
    <xf numFmtId="201" fontId="89" fillId="99" borderId="77" xfId="0" applyNumberFormat="1" applyFont="1" applyFill="1" applyBorder="1" applyAlignment="1">
      <alignment horizontal="center" vertical="center" wrapText="1"/>
    </xf>
    <xf numFmtId="201" fontId="89" fillId="99" borderId="77" xfId="1660" applyNumberFormat="1" applyFont="1" applyFill="1" applyBorder="1" applyAlignment="1">
      <alignment horizontal="center" vertical="center" wrapText="1"/>
    </xf>
    <xf numFmtId="201" fontId="88" fillId="99" borderId="77" xfId="0" applyNumberFormat="1" applyFont="1" applyFill="1" applyBorder="1" applyAlignment="1">
      <alignment horizontal="center" vertical="center" wrapText="1"/>
    </xf>
    <xf numFmtId="201" fontId="88" fillId="99" borderId="81" xfId="0" applyNumberFormat="1" applyFont="1" applyFill="1" applyBorder="1" applyAlignment="1">
      <alignment horizontal="center" vertical="center" wrapText="1"/>
    </xf>
    <xf numFmtId="201" fontId="88" fillId="99" borderId="77" xfId="1660" applyNumberFormat="1" applyFont="1" applyFill="1" applyBorder="1" applyAlignment="1">
      <alignment horizontal="center" vertical="center" wrapText="1"/>
    </xf>
    <xf numFmtId="164" fontId="86" fillId="0" borderId="0" xfId="0" applyNumberFormat="1" applyFont="1" applyAlignment="1">
      <alignment horizontal="center"/>
    </xf>
    <xf numFmtId="164" fontId="87" fillId="0" borderId="0" xfId="0" applyNumberFormat="1" applyFont="1"/>
    <xf numFmtId="164" fontId="87" fillId="0" borderId="25" xfId="0" applyNumberFormat="1" applyFont="1" applyBorder="1"/>
    <xf numFmtId="164" fontId="86" fillId="0" borderId="0" xfId="0" applyNumberFormat="1" applyFont="1"/>
    <xf numFmtId="164" fontId="69" fillId="0" borderId="0" xfId="0" applyNumberFormat="1" applyFont="1" applyAlignment="1">
      <alignment horizontal="center" vertical="center"/>
    </xf>
    <xf numFmtId="164" fontId="70" fillId="0" borderId="0" xfId="0" applyNumberFormat="1" applyFont="1"/>
    <xf numFmtId="203" fontId="86" fillId="95" borderId="55" xfId="869" applyNumberFormat="1" applyFont="1" applyFill="1" applyBorder="1" applyAlignment="1">
      <alignment vertical="center"/>
    </xf>
    <xf numFmtId="203" fontId="86" fillId="95" borderId="1" xfId="869" applyNumberFormat="1" applyFont="1" applyFill="1" applyBorder="1" applyAlignment="1">
      <alignment vertical="center"/>
    </xf>
    <xf numFmtId="164" fontId="87" fillId="0" borderId="42" xfId="0" applyNumberFormat="1" applyFont="1" applyBorder="1" applyAlignment="1">
      <alignment horizontal="right" vertical="center" wrapText="1"/>
    </xf>
    <xf numFmtId="164" fontId="86" fillId="0" borderId="42" xfId="0" applyNumberFormat="1" applyFont="1" applyBorder="1" applyAlignment="1">
      <alignment horizontal="right" vertical="center" wrapText="1"/>
    </xf>
    <xf numFmtId="164" fontId="86" fillId="0" borderId="44" xfId="0" applyNumberFormat="1" applyFont="1" applyBorder="1" applyAlignment="1">
      <alignment horizontal="right" vertical="center" wrapText="1"/>
    </xf>
    <xf numFmtId="164" fontId="86" fillId="95" borderId="42" xfId="0" applyNumberFormat="1" applyFont="1" applyFill="1" applyBorder="1" applyAlignment="1">
      <alignment horizontal="right" vertical="center" wrapText="1"/>
    </xf>
    <xf numFmtId="164" fontId="86" fillId="0" borderId="42" xfId="0" applyNumberFormat="1" applyFont="1" applyFill="1" applyBorder="1" applyAlignment="1">
      <alignment horizontal="right" vertical="center" wrapText="1"/>
    </xf>
    <xf numFmtId="164" fontId="86" fillId="0" borderId="44" xfId="0" applyNumberFormat="1" applyFont="1" applyFill="1" applyBorder="1" applyAlignment="1">
      <alignment horizontal="right" vertical="center" wrapText="1"/>
    </xf>
    <xf numFmtId="164" fontId="86" fillId="95" borderId="42" xfId="0" applyNumberFormat="1" applyFont="1" applyFill="1" applyBorder="1" applyAlignment="1">
      <alignment vertical="center" wrapText="1"/>
    </xf>
    <xf numFmtId="164" fontId="86" fillId="95" borderId="44" xfId="0" applyNumberFormat="1" applyFont="1" applyFill="1" applyBorder="1" applyAlignment="1">
      <alignment vertical="center" wrapText="1"/>
    </xf>
    <xf numFmtId="164" fontId="87" fillId="95" borderId="42" xfId="0" applyNumberFormat="1" applyFont="1" applyFill="1" applyBorder="1" applyAlignment="1">
      <alignment horizontal="right" vertical="center" wrapText="1"/>
    </xf>
    <xf numFmtId="164" fontId="87" fillId="95" borderId="44" xfId="0" applyNumberFormat="1" applyFont="1" applyFill="1" applyBorder="1" applyAlignment="1">
      <alignment horizontal="right" vertical="center" wrapText="1"/>
    </xf>
    <xf numFmtId="164" fontId="86" fillId="95" borderId="49" xfId="0" applyNumberFormat="1" applyFont="1" applyFill="1" applyBorder="1" applyAlignment="1">
      <alignment vertical="center" wrapText="1"/>
    </xf>
    <xf numFmtId="164" fontId="87" fillId="0" borderId="0" xfId="868" applyNumberFormat="1" applyFont="1"/>
    <xf numFmtId="164" fontId="68" fillId="0" borderId="0" xfId="868" applyNumberFormat="1" applyFont="1"/>
    <xf numFmtId="49" fontId="93" fillId="93" borderId="28" xfId="801" applyNumberFormat="1" applyFont="1" applyFill="1" applyBorder="1" applyAlignment="1">
      <alignment horizontal="center"/>
    </xf>
    <xf numFmtId="49" fontId="93" fillId="93" borderId="31" xfId="801" applyNumberFormat="1" applyFont="1" applyFill="1" applyBorder="1" applyAlignment="1">
      <alignment horizontal="center"/>
    </xf>
    <xf numFmtId="14" fontId="108" fillId="96" borderId="91" xfId="0" applyNumberFormat="1" applyFont="1" applyFill="1" applyBorder="1" applyAlignment="1">
      <alignment horizontal="center" vertical="center" wrapText="1"/>
    </xf>
    <xf numFmtId="0" fontId="108" fillId="96" borderId="93" xfId="0" applyFont="1" applyFill="1" applyBorder="1" applyAlignment="1">
      <alignment horizontal="center" vertical="center" wrapText="1"/>
    </xf>
    <xf numFmtId="0" fontId="109" fillId="0" borderId="92" xfId="0" applyFont="1" applyBorder="1" applyAlignment="1">
      <alignment vertical="center"/>
    </xf>
    <xf numFmtId="203" fontId="109" fillId="0" borderId="94" xfId="0" applyNumberFormat="1" applyFont="1" applyBorder="1" applyAlignment="1">
      <alignment vertical="center"/>
    </xf>
    <xf numFmtId="0" fontId="107" fillId="95" borderId="92" xfId="0" applyFont="1" applyFill="1" applyBorder="1" applyAlignment="1">
      <alignment vertical="center"/>
    </xf>
    <xf numFmtId="203" fontId="107" fillId="95" borderId="94" xfId="0" applyNumberFormat="1" applyFont="1" applyFill="1" applyBorder="1" applyAlignment="1">
      <alignment vertical="center"/>
    </xf>
    <xf numFmtId="0" fontId="108" fillId="96" borderId="95" xfId="0" applyFont="1" applyFill="1" applyBorder="1" applyAlignment="1">
      <alignment vertical="center"/>
    </xf>
    <xf numFmtId="203" fontId="108" fillId="96" borderId="96" xfId="0" applyNumberFormat="1" applyFont="1" applyFill="1" applyBorder="1" applyAlignment="1">
      <alignment horizontal="right" vertical="center"/>
    </xf>
    <xf numFmtId="0" fontId="81" fillId="0" borderId="67" xfId="0" applyFont="1" applyBorder="1" applyAlignment="1">
      <alignment horizontal="right" vertical="center"/>
    </xf>
    <xf numFmtId="164" fontId="78" fillId="0" borderId="0" xfId="1660" applyFont="1" applyAlignment="1">
      <alignment horizontal="right" vertical="center"/>
    </xf>
    <xf numFmtId="164" fontId="81" fillId="0" borderId="0" xfId="1660" applyFont="1" applyAlignment="1">
      <alignment horizontal="right" vertical="center"/>
    </xf>
    <xf numFmtId="204" fontId="87" fillId="0" borderId="60" xfId="869" applyNumberFormat="1" applyFont="1" applyFill="1" applyBorder="1" applyAlignment="1">
      <alignment vertical="center"/>
    </xf>
    <xf numFmtId="204" fontId="87" fillId="0" borderId="46" xfId="869" applyNumberFormat="1" applyFont="1" applyFill="1" applyBorder="1" applyAlignment="1">
      <alignment vertical="center"/>
    </xf>
    <xf numFmtId="164" fontId="93" fillId="98" borderId="0" xfId="1660" applyFont="1" applyFill="1"/>
    <xf numFmtId="164" fontId="71" fillId="98" borderId="0" xfId="1660" applyFont="1" applyFill="1"/>
    <xf numFmtId="0" fontId="92" fillId="95" borderId="25" xfId="0" applyFont="1" applyFill="1" applyBorder="1"/>
    <xf numFmtId="0" fontId="92" fillId="0" borderId="98" xfId="0" applyFont="1" applyBorder="1"/>
    <xf numFmtId="3" fontId="93" fillId="0" borderId="0" xfId="0" applyNumberFormat="1" applyFont="1"/>
    <xf numFmtId="10" fontId="93" fillId="0" borderId="0" xfId="1659" applyNumberFormat="1" applyFont="1"/>
    <xf numFmtId="3" fontId="92" fillId="0" borderId="0" xfId="0" applyNumberFormat="1" applyFont="1"/>
    <xf numFmtId="10" fontId="92" fillId="0" borderId="0" xfId="1659" applyNumberFormat="1" applyFont="1"/>
    <xf numFmtId="164" fontId="68" fillId="0" borderId="0" xfId="1660" applyFont="1"/>
    <xf numFmtId="187" fontId="78" fillId="0" borderId="0" xfId="0" applyNumberFormat="1" applyFont="1" applyAlignment="1">
      <alignment horizontal="right" vertical="center"/>
    </xf>
    <xf numFmtId="187" fontId="78" fillId="0" borderId="39" xfId="0" applyNumberFormat="1" applyFont="1" applyBorder="1" applyAlignment="1">
      <alignment horizontal="right" vertical="center"/>
    </xf>
    <xf numFmtId="187" fontId="81" fillId="0" borderId="0" xfId="0" applyNumberFormat="1" applyFont="1" applyAlignment="1">
      <alignment horizontal="right" vertical="center"/>
    </xf>
    <xf numFmtId="201" fontId="89" fillId="0" borderId="0" xfId="868" applyNumberFormat="1" applyFont="1" applyFill="1" applyAlignment="1">
      <alignment vertical="center"/>
    </xf>
    <xf numFmtId="201" fontId="88" fillId="0" borderId="0" xfId="868" applyNumberFormat="1" applyFont="1" applyFill="1" applyAlignment="1">
      <alignment horizontal="center" vertical="center"/>
    </xf>
    <xf numFmtId="3" fontId="88" fillId="0" borderId="0" xfId="869" applyNumberFormat="1" applyFont="1" applyFill="1" applyBorder="1" applyAlignment="1">
      <alignment horizontal="center" vertical="center"/>
    </xf>
    <xf numFmtId="201" fontId="88" fillId="0" borderId="0" xfId="869" applyNumberFormat="1" applyFont="1" applyFill="1" applyBorder="1" applyAlignment="1">
      <alignment horizontal="center" vertical="center"/>
    </xf>
    <xf numFmtId="201" fontId="89" fillId="0" borderId="0" xfId="869" applyNumberFormat="1" applyFont="1" applyFill="1" applyBorder="1" applyAlignment="1">
      <alignment vertical="center"/>
    </xf>
    <xf numFmtId="201" fontId="88" fillId="0" borderId="0" xfId="869" applyNumberFormat="1" applyFont="1" applyFill="1" applyBorder="1" applyAlignment="1">
      <alignment vertical="center"/>
    </xf>
    <xf numFmtId="0" fontId="81" fillId="0" borderId="67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78" fillId="0" borderId="0" xfId="0" applyFont="1" applyAlignment="1">
      <alignment horizontal="right"/>
    </xf>
    <xf numFmtId="164" fontId="68" fillId="0" borderId="0" xfId="1660" applyFont="1" applyAlignment="1">
      <alignment vertical="center"/>
    </xf>
    <xf numFmtId="164" fontId="74" fillId="0" borderId="0" xfId="1660" applyFont="1" applyAlignment="1">
      <alignment vertical="center"/>
    </xf>
    <xf numFmtId="164" fontId="73" fillId="0" borderId="0" xfId="0" applyNumberFormat="1" applyFont="1" applyAlignment="1">
      <alignment vertical="center"/>
    </xf>
    <xf numFmtId="164" fontId="72" fillId="0" borderId="0" xfId="0" applyNumberFormat="1" applyFont="1" applyAlignment="1">
      <alignment vertical="center"/>
    </xf>
    <xf numFmtId="164" fontId="74" fillId="0" borderId="0" xfId="0" applyNumberFormat="1" applyFont="1" applyAlignment="1"/>
    <xf numFmtId="200" fontId="71" fillId="0" borderId="0" xfId="0" applyNumberFormat="1" applyFont="1"/>
    <xf numFmtId="187" fontId="93" fillId="0" borderId="0" xfId="0" applyNumberFormat="1" applyFont="1"/>
    <xf numFmtId="187" fontId="92" fillId="0" borderId="98" xfId="0" applyNumberFormat="1" applyFont="1" applyBorder="1"/>
    <xf numFmtId="0" fontId="73" fillId="0" borderId="25" xfId="0" applyFont="1" applyBorder="1" applyAlignment="1">
      <alignment vertical="center"/>
    </xf>
    <xf numFmtId="0" fontId="73" fillId="0" borderId="25" xfId="0" applyFont="1" applyBorder="1" applyAlignment="1">
      <alignment horizontal="center" vertical="center"/>
    </xf>
    <xf numFmtId="203" fontId="72" fillId="0" borderId="25" xfId="0" applyNumberFormat="1" applyFont="1" applyBorder="1" applyAlignment="1">
      <alignment horizontal="right" vertical="center"/>
    </xf>
    <xf numFmtId="203" fontId="73" fillId="0" borderId="25" xfId="0" applyNumberFormat="1" applyFont="1" applyBorder="1" applyAlignment="1">
      <alignment horizontal="right" vertical="center"/>
    </xf>
    <xf numFmtId="203" fontId="73" fillId="0" borderId="25" xfId="0" applyNumberFormat="1" applyFont="1" applyFill="1" applyBorder="1" applyAlignment="1">
      <alignment horizontal="right" vertical="center"/>
    </xf>
    <xf numFmtId="0" fontId="72" fillId="0" borderId="37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164" fontId="72" fillId="0" borderId="0" xfId="1660" applyFont="1" applyAlignment="1">
      <alignment horizontal="right" vertical="center"/>
    </xf>
    <xf numFmtId="201" fontId="72" fillId="0" borderId="0" xfId="0" applyNumberFormat="1" applyFont="1" applyAlignment="1">
      <alignment horizontal="center" vertical="center"/>
    </xf>
    <xf numFmtId="0" fontId="73" fillId="0" borderId="67" xfId="0" applyFont="1" applyBorder="1" applyAlignment="1">
      <alignment vertical="center"/>
    </xf>
    <xf numFmtId="0" fontId="72" fillId="0" borderId="97" xfId="0" applyFont="1" applyBorder="1" applyAlignment="1">
      <alignment vertical="center"/>
    </xf>
    <xf numFmtId="0" fontId="110" fillId="0" borderId="67" xfId="0" applyFont="1" applyBorder="1" applyAlignment="1">
      <alignment horizontal="center" vertical="center"/>
    </xf>
    <xf numFmtId="0" fontId="115" fillId="0" borderId="0" xfId="0" applyFont="1" applyAlignment="1">
      <alignment vertical="center"/>
    </xf>
    <xf numFmtId="0" fontId="116" fillId="0" borderId="0" xfId="0" applyFont="1" applyAlignment="1">
      <alignment vertical="center"/>
    </xf>
    <xf numFmtId="0" fontId="116" fillId="0" borderId="0" xfId="0" applyFont="1" applyAlignment="1">
      <alignment vertical="center" wrapText="1"/>
    </xf>
    <xf numFmtId="0" fontId="111" fillId="0" borderId="0" xfId="0" applyFont="1" applyAlignment="1">
      <alignment horizontal="center" vertical="center"/>
    </xf>
    <xf numFmtId="0" fontId="117" fillId="0" borderId="0" xfId="0" applyFont="1"/>
    <xf numFmtId="0" fontId="81" fillId="0" borderId="67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97" xfId="0" applyFont="1" applyBorder="1" applyAlignment="1">
      <alignment horizontal="center" vertical="center"/>
    </xf>
    <xf numFmtId="0" fontId="72" fillId="0" borderId="38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107" fillId="96" borderId="90" xfId="0" applyFont="1" applyFill="1" applyBorder="1" applyAlignment="1">
      <alignment vertical="center" wrapText="1"/>
    </xf>
    <xf numFmtId="0" fontId="107" fillId="96" borderId="92" xfId="0" applyFont="1" applyFill="1" applyBorder="1" applyAlignment="1">
      <alignment vertical="center" wrapText="1"/>
    </xf>
    <xf numFmtId="203" fontId="86" fillId="72" borderId="53" xfId="869" applyNumberFormat="1" applyFont="1" applyFill="1" applyBorder="1" applyAlignment="1">
      <alignment horizontal="left" vertical="center"/>
    </xf>
    <xf numFmtId="203" fontId="86" fillId="72" borderId="55" xfId="869" applyNumberFormat="1" applyFont="1" applyFill="1" applyBorder="1" applyAlignment="1">
      <alignment horizontal="left" vertical="center"/>
    </xf>
    <xf numFmtId="203" fontId="86" fillId="72" borderId="54" xfId="869" applyNumberFormat="1" applyFont="1" applyFill="1" applyBorder="1" applyAlignment="1">
      <alignment horizontal="center" vertical="center"/>
    </xf>
    <xf numFmtId="203" fontId="86" fillId="72" borderId="1" xfId="869" applyNumberFormat="1" applyFont="1" applyFill="1" applyBorder="1" applyAlignment="1">
      <alignment horizontal="center" vertical="center"/>
    </xf>
    <xf numFmtId="164" fontId="88" fillId="99" borderId="88" xfId="869" applyNumberFormat="1" applyFont="1" applyFill="1" applyBorder="1" applyAlignment="1">
      <alignment horizontal="center" vertical="center"/>
    </xf>
    <xf numFmtId="164" fontId="88" fillId="99" borderId="89" xfId="869" applyNumberFormat="1" applyFont="1" applyFill="1" applyBorder="1" applyAlignment="1">
      <alignment horizontal="center" vertical="center"/>
    </xf>
    <xf numFmtId="203" fontId="86" fillId="72" borderId="61" xfId="869" applyNumberFormat="1" applyFont="1" applyFill="1" applyBorder="1" applyAlignment="1">
      <alignment horizontal="left" vertical="center"/>
    </xf>
    <xf numFmtId="203" fontId="86" fillId="72" borderId="63" xfId="869" applyNumberFormat="1" applyFont="1" applyFill="1" applyBorder="1" applyAlignment="1">
      <alignment horizontal="left" vertical="center"/>
    </xf>
    <xf numFmtId="3" fontId="88" fillId="99" borderId="84" xfId="869" applyNumberFormat="1" applyFont="1" applyFill="1" applyBorder="1" applyAlignment="1">
      <alignment horizontal="center" vertical="center"/>
    </xf>
    <xf numFmtId="3" fontId="88" fillId="99" borderId="85" xfId="869" applyNumberFormat="1" applyFont="1" applyFill="1" applyBorder="1" applyAlignment="1">
      <alignment horizontal="center" vertical="center"/>
    </xf>
    <xf numFmtId="164" fontId="86" fillId="0" borderId="99" xfId="868" applyNumberFormat="1" applyFont="1" applyBorder="1" applyAlignment="1">
      <alignment horizontal="center"/>
    </xf>
    <xf numFmtId="0" fontId="86" fillId="96" borderId="73" xfId="0" applyFont="1" applyFill="1" applyBorder="1" applyAlignment="1">
      <alignment horizontal="left" vertical="center"/>
    </xf>
    <xf numFmtId="0" fontId="86" fillId="96" borderId="70" xfId="0" applyFont="1" applyFill="1" applyBorder="1" applyAlignment="1">
      <alignment horizontal="left" vertical="center"/>
    </xf>
    <xf numFmtId="0" fontId="86" fillId="96" borderId="71" xfId="0" applyFont="1" applyFill="1" applyBorder="1" applyAlignment="1">
      <alignment horizontal="center" vertical="center"/>
    </xf>
    <xf numFmtId="0" fontId="86" fillId="96" borderId="72" xfId="0" applyFont="1" applyFill="1" applyBorder="1" applyAlignment="1">
      <alignment horizontal="center" vertical="center"/>
    </xf>
  </cellXfs>
  <cellStyles count="166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1000000}"/>
    <cellStyle name="20% - Énfasis1 2 2" xfId="13" xr:uid="{00000000-0005-0000-0000-000012000000}"/>
    <cellStyle name="20% - Énfasis2 2" xfId="15" xr:uid="{00000000-0005-0000-0000-000014000000}"/>
    <cellStyle name="20% - Énfasis2 2 2" xfId="16" xr:uid="{00000000-0005-0000-0000-000015000000}"/>
    <cellStyle name="20% - Énfasis3 2" xfId="18" xr:uid="{00000000-0005-0000-0000-000017000000}"/>
    <cellStyle name="20% - Énfasis3 2 2" xfId="19" xr:uid="{00000000-0005-0000-0000-000018000000}"/>
    <cellStyle name="20% - Énfasis4 2" xfId="21" xr:uid="{00000000-0005-0000-0000-00001A000000}"/>
    <cellStyle name="20% - Énfasis4 2 2" xfId="22" xr:uid="{00000000-0005-0000-0000-00001B000000}"/>
    <cellStyle name="20% - Énfasis5 2" xfId="24" xr:uid="{00000000-0005-0000-0000-00001D000000}"/>
    <cellStyle name="20% - Énfasis5 2 2" xfId="25" xr:uid="{00000000-0005-0000-0000-00001E000000}"/>
    <cellStyle name="20% - Énfasis6 2" xfId="27" xr:uid="{00000000-0005-0000-0000-000020000000}"/>
    <cellStyle name="20% - Énfasis6 2 2" xfId="28" xr:uid="{00000000-0005-0000-0000-000021000000}"/>
    <cellStyle name="40% - Accent1" xfId="35" xr:uid="{00000000-0005-0000-0000-000022000000}"/>
    <cellStyle name="40% - Accent2" xfId="38" xr:uid="{00000000-0005-0000-0000-000023000000}"/>
    <cellStyle name="40% - Accent3" xfId="41" xr:uid="{00000000-0005-0000-0000-000024000000}"/>
    <cellStyle name="40% - Accent4" xfId="44" xr:uid="{00000000-0005-0000-0000-000025000000}"/>
    <cellStyle name="40% - Accent5" xfId="47" xr:uid="{00000000-0005-0000-0000-000026000000}"/>
    <cellStyle name="40% - Accent6" xfId="50" xr:uid="{00000000-0005-0000-0000-000027000000}"/>
    <cellStyle name="40% - akcent 1" xfId="29" xr:uid="{00000000-0005-0000-0000-000028000000}"/>
    <cellStyle name="40% - akcent 2" xfId="30" xr:uid="{00000000-0005-0000-0000-000029000000}"/>
    <cellStyle name="40% - akcent 3" xfId="31" xr:uid="{00000000-0005-0000-0000-00002A000000}"/>
    <cellStyle name="40% - akcent 4" xfId="32" xr:uid="{00000000-0005-0000-0000-00002B000000}"/>
    <cellStyle name="40% - akcent 5" xfId="33" xr:uid="{00000000-0005-0000-0000-00002C000000}"/>
    <cellStyle name="40% - akcent 6" xfId="34" xr:uid="{00000000-0005-0000-0000-00002D000000}"/>
    <cellStyle name="40% - Énfasis1 2" xfId="36" xr:uid="{00000000-0005-0000-0000-00002F000000}"/>
    <cellStyle name="40% - Énfasis1 2 2" xfId="37" xr:uid="{00000000-0005-0000-0000-000030000000}"/>
    <cellStyle name="40% - Énfasis2 2" xfId="39" xr:uid="{00000000-0005-0000-0000-000032000000}"/>
    <cellStyle name="40% - Énfasis2 2 2" xfId="40" xr:uid="{00000000-0005-0000-0000-000033000000}"/>
    <cellStyle name="40% - Énfasis3 2" xfId="42" xr:uid="{00000000-0005-0000-0000-000035000000}"/>
    <cellStyle name="40% - Énfasis3 2 2" xfId="43" xr:uid="{00000000-0005-0000-0000-000036000000}"/>
    <cellStyle name="40% - Énfasis4 2" xfId="45" xr:uid="{00000000-0005-0000-0000-000038000000}"/>
    <cellStyle name="40% - Énfasis4 2 2" xfId="46" xr:uid="{00000000-0005-0000-0000-000039000000}"/>
    <cellStyle name="40% - Énfasis5 2" xfId="48" xr:uid="{00000000-0005-0000-0000-00003B000000}"/>
    <cellStyle name="40% - Énfasis5 2 2" xfId="49" xr:uid="{00000000-0005-0000-0000-00003C000000}"/>
    <cellStyle name="40% - Énfasis6 2" xfId="51" xr:uid="{00000000-0005-0000-0000-00003E000000}"/>
    <cellStyle name="40% - Énfasis6 2 2" xfId="52" xr:uid="{00000000-0005-0000-0000-00003F000000}"/>
    <cellStyle name="60% - Accent1" xfId="59" xr:uid="{00000000-0005-0000-0000-000040000000}"/>
    <cellStyle name="60% - Accent2" xfId="61" xr:uid="{00000000-0005-0000-0000-000041000000}"/>
    <cellStyle name="60% - Accent3" xfId="63" xr:uid="{00000000-0005-0000-0000-000042000000}"/>
    <cellStyle name="60% - Accent4" xfId="65" xr:uid="{00000000-0005-0000-0000-000043000000}"/>
    <cellStyle name="60% - Accent5" xfId="67" xr:uid="{00000000-0005-0000-0000-000044000000}"/>
    <cellStyle name="60% - Accent6" xfId="69" xr:uid="{00000000-0005-0000-0000-000045000000}"/>
    <cellStyle name="60% - akcent 1" xfId="53" xr:uid="{00000000-0005-0000-0000-000046000000}"/>
    <cellStyle name="60% - akcent 2" xfId="54" xr:uid="{00000000-0005-0000-0000-000047000000}"/>
    <cellStyle name="60% - akcent 3" xfId="55" xr:uid="{00000000-0005-0000-0000-000048000000}"/>
    <cellStyle name="60% - akcent 4" xfId="56" xr:uid="{00000000-0005-0000-0000-000049000000}"/>
    <cellStyle name="60% - akcent 5" xfId="57" xr:uid="{00000000-0005-0000-0000-00004A000000}"/>
    <cellStyle name="60% - akcent 6" xfId="58" xr:uid="{00000000-0005-0000-0000-00004B000000}"/>
    <cellStyle name="60% - Énfasis1 2 2" xfId="60" xr:uid="{00000000-0005-0000-0000-00004D000000}"/>
    <cellStyle name="60% - Énfasis2 2 2" xfId="62" xr:uid="{00000000-0005-0000-0000-00004F000000}"/>
    <cellStyle name="60% - Énfasis3 2 2" xfId="64" xr:uid="{00000000-0005-0000-0000-000051000000}"/>
    <cellStyle name="60% - Énfasis4 2 2" xfId="66" xr:uid="{00000000-0005-0000-0000-000053000000}"/>
    <cellStyle name="60% - Énfasis5 2 2" xfId="68" xr:uid="{00000000-0005-0000-0000-000055000000}"/>
    <cellStyle name="60% - Énfasis6 2 2" xfId="70" xr:uid="{00000000-0005-0000-0000-000057000000}"/>
    <cellStyle name="Accent1" xfId="555" xr:uid="{00000000-0005-0000-0000-000058000000}"/>
    <cellStyle name="Accent1 - 20%" xfId="71" xr:uid="{00000000-0005-0000-0000-000059000000}"/>
    <cellStyle name="Accent1 - 20% 10" xfId="72" xr:uid="{00000000-0005-0000-0000-00005A000000}"/>
    <cellStyle name="Accent1 - 20% 11" xfId="73" xr:uid="{00000000-0005-0000-0000-00005B000000}"/>
    <cellStyle name="Accent1 - 20% 12" xfId="74" xr:uid="{00000000-0005-0000-0000-00005C000000}"/>
    <cellStyle name="Accent1 - 20% 13" xfId="75" xr:uid="{00000000-0005-0000-0000-00005D000000}"/>
    <cellStyle name="Accent1 - 20% 2" xfId="76" xr:uid="{00000000-0005-0000-0000-00005E000000}"/>
    <cellStyle name="Accent1 - 20% 2 2" xfId="77" xr:uid="{00000000-0005-0000-0000-00005F000000}"/>
    <cellStyle name="Accent1 - 20% 2 2 2" xfId="78" xr:uid="{00000000-0005-0000-0000-000060000000}"/>
    <cellStyle name="Accent1 - 20% 3" xfId="79" xr:uid="{00000000-0005-0000-0000-000061000000}"/>
    <cellStyle name="Accent1 - 20% 3 2" xfId="80" xr:uid="{00000000-0005-0000-0000-000062000000}"/>
    <cellStyle name="Accent1 - 20% 4" xfId="81" xr:uid="{00000000-0005-0000-0000-000063000000}"/>
    <cellStyle name="Accent1 - 20% 4 2" xfId="82" xr:uid="{00000000-0005-0000-0000-000064000000}"/>
    <cellStyle name="Accent1 - 20% 5" xfId="83" xr:uid="{00000000-0005-0000-0000-000065000000}"/>
    <cellStyle name="Accent1 - 20% 5 2" xfId="84" xr:uid="{00000000-0005-0000-0000-000066000000}"/>
    <cellStyle name="Accent1 - 20% 6" xfId="85" xr:uid="{00000000-0005-0000-0000-000067000000}"/>
    <cellStyle name="Accent1 - 20% 6 2" xfId="86" xr:uid="{00000000-0005-0000-0000-000068000000}"/>
    <cellStyle name="Accent1 - 20% 7" xfId="87" xr:uid="{00000000-0005-0000-0000-000069000000}"/>
    <cellStyle name="Accent1 - 20% 8" xfId="88" xr:uid="{00000000-0005-0000-0000-00006A000000}"/>
    <cellStyle name="Accent1 - 20% 9" xfId="89" xr:uid="{00000000-0005-0000-0000-00006B000000}"/>
    <cellStyle name="Accent1 - 20%_Combinación de negocios - AA-IAMv3" xfId="90" xr:uid="{00000000-0005-0000-0000-00006C000000}"/>
    <cellStyle name="Accent1 - 40%" xfId="91" xr:uid="{00000000-0005-0000-0000-00006D000000}"/>
    <cellStyle name="Accent1 - 40% 10" xfId="92" xr:uid="{00000000-0005-0000-0000-00006E000000}"/>
    <cellStyle name="Accent1 - 40% 11" xfId="93" xr:uid="{00000000-0005-0000-0000-00006F000000}"/>
    <cellStyle name="Accent1 - 40% 12" xfId="94" xr:uid="{00000000-0005-0000-0000-000070000000}"/>
    <cellStyle name="Accent1 - 40% 13" xfId="95" xr:uid="{00000000-0005-0000-0000-000071000000}"/>
    <cellStyle name="Accent1 - 40% 2" xfId="96" xr:uid="{00000000-0005-0000-0000-000072000000}"/>
    <cellStyle name="Accent1 - 40% 2 2" xfId="97" xr:uid="{00000000-0005-0000-0000-000073000000}"/>
    <cellStyle name="Accent1 - 40% 2 2 2" xfId="98" xr:uid="{00000000-0005-0000-0000-000074000000}"/>
    <cellStyle name="Accent1 - 40% 3" xfId="99" xr:uid="{00000000-0005-0000-0000-000075000000}"/>
    <cellStyle name="Accent1 - 40% 3 2" xfId="100" xr:uid="{00000000-0005-0000-0000-000076000000}"/>
    <cellStyle name="Accent1 - 40% 4" xfId="101" xr:uid="{00000000-0005-0000-0000-000077000000}"/>
    <cellStyle name="Accent1 - 40% 4 2" xfId="102" xr:uid="{00000000-0005-0000-0000-000078000000}"/>
    <cellStyle name="Accent1 - 40% 5" xfId="103" xr:uid="{00000000-0005-0000-0000-000079000000}"/>
    <cellStyle name="Accent1 - 40% 5 2" xfId="104" xr:uid="{00000000-0005-0000-0000-00007A000000}"/>
    <cellStyle name="Accent1 - 40% 6" xfId="105" xr:uid="{00000000-0005-0000-0000-00007B000000}"/>
    <cellStyle name="Accent1 - 40% 6 2" xfId="106" xr:uid="{00000000-0005-0000-0000-00007C000000}"/>
    <cellStyle name="Accent1 - 40% 7" xfId="107" xr:uid="{00000000-0005-0000-0000-00007D000000}"/>
    <cellStyle name="Accent1 - 40% 8" xfId="108" xr:uid="{00000000-0005-0000-0000-00007E000000}"/>
    <cellStyle name="Accent1 - 40% 9" xfId="109" xr:uid="{00000000-0005-0000-0000-00007F000000}"/>
    <cellStyle name="Accent1 - 40%_Combinación de negocios - AA-IAMv3" xfId="110" xr:uid="{00000000-0005-0000-0000-000080000000}"/>
    <cellStyle name="Accent1 - 60%" xfId="111" xr:uid="{00000000-0005-0000-0000-000081000000}"/>
    <cellStyle name="Accent1 - 60% 10" xfId="112" xr:uid="{00000000-0005-0000-0000-000082000000}"/>
    <cellStyle name="Accent1 - 60% 11" xfId="113" xr:uid="{00000000-0005-0000-0000-000083000000}"/>
    <cellStyle name="Accent1 - 60% 2" xfId="114" xr:uid="{00000000-0005-0000-0000-000084000000}"/>
    <cellStyle name="Accent1 - 60% 2 2" xfId="115" xr:uid="{00000000-0005-0000-0000-000085000000}"/>
    <cellStyle name="Accent1 - 60% 2 2 2" xfId="116" xr:uid="{00000000-0005-0000-0000-000086000000}"/>
    <cellStyle name="Accent1 - 60% 3" xfId="117" xr:uid="{00000000-0005-0000-0000-000087000000}"/>
    <cellStyle name="Accent1 - 60% 4" xfId="118" xr:uid="{00000000-0005-0000-0000-000088000000}"/>
    <cellStyle name="Accent1 - 60% 5" xfId="119" xr:uid="{00000000-0005-0000-0000-000089000000}"/>
    <cellStyle name="Accent1 - 60% 6" xfId="120" xr:uid="{00000000-0005-0000-0000-00008A000000}"/>
    <cellStyle name="Accent1 - 60% 7" xfId="121" xr:uid="{00000000-0005-0000-0000-00008B000000}"/>
    <cellStyle name="Accent1 - 60% 8" xfId="122" xr:uid="{00000000-0005-0000-0000-00008C000000}"/>
    <cellStyle name="Accent1 - 60% 9" xfId="123" xr:uid="{00000000-0005-0000-0000-00008D000000}"/>
    <cellStyle name="Accent2" xfId="581" xr:uid="{00000000-0005-0000-0000-00008E000000}"/>
    <cellStyle name="Accent2 - 20%" xfId="124" xr:uid="{00000000-0005-0000-0000-00008F000000}"/>
    <cellStyle name="Accent2 - 20% 10" xfId="125" xr:uid="{00000000-0005-0000-0000-000090000000}"/>
    <cellStyle name="Accent2 - 20% 11" xfId="126" xr:uid="{00000000-0005-0000-0000-000091000000}"/>
    <cellStyle name="Accent2 - 20% 12" xfId="127" xr:uid="{00000000-0005-0000-0000-000092000000}"/>
    <cellStyle name="Accent2 - 20% 13" xfId="128" xr:uid="{00000000-0005-0000-0000-000093000000}"/>
    <cellStyle name="Accent2 - 20% 2" xfId="129" xr:uid="{00000000-0005-0000-0000-000094000000}"/>
    <cellStyle name="Accent2 - 20% 2 2" xfId="130" xr:uid="{00000000-0005-0000-0000-000095000000}"/>
    <cellStyle name="Accent2 - 20% 2 2 2" xfId="131" xr:uid="{00000000-0005-0000-0000-000096000000}"/>
    <cellStyle name="Accent2 - 20% 3" xfId="132" xr:uid="{00000000-0005-0000-0000-000097000000}"/>
    <cellStyle name="Accent2 - 20% 3 2" xfId="133" xr:uid="{00000000-0005-0000-0000-000098000000}"/>
    <cellStyle name="Accent2 - 20% 4" xfId="134" xr:uid="{00000000-0005-0000-0000-000099000000}"/>
    <cellStyle name="Accent2 - 20% 4 2" xfId="135" xr:uid="{00000000-0005-0000-0000-00009A000000}"/>
    <cellStyle name="Accent2 - 20% 5" xfId="136" xr:uid="{00000000-0005-0000-0000-00009B000000}"/>
    <cellStyle name="Accent2 - 20% 5 2" xfId="137" xr:uid="{00000000-0005-0000-0000-00009C000000}"/>
    <cellStyle name="Accent2 - 20% 6" xfId="138" xr:uid="{00000000-0005-0000-0000-00009D000000}"/>
    <cellStyle name="Accent2 - 20% 6 2" xfId="139" xr:uid="{00000000-0005-0000-0000-00009E000000}"/>
    <cellStyle name="Accent2 - 20% 7" xfId="140" xr:uid="{00000000-0005-0000-0000-00009F000000}"/>
    <cellStyle name="Accent2 - 20% 8" xfId="141" xr:uid="{00000000-0005-0000-0000-0000A0000000}"/>
    <cellStyle name="Accent2 - 20% 9" xfId="142" xr:uid="{00000000-0005-0000-0000-0000A1000000}"/>
    <cellStyle name="Accent2 - 20%_Combinación de negocios - AA-IAMv3" xfId="143" xr:uid="{00000000-0005-0000-0000-0000A2000000}"/>
    <cellStyle name="Accent2 - 40%" xfId="144" xr:uid="{00000000-0005-0000-0000-0000A3000000}"/>
    <cellStyle name="Accent2 - 40% 10" xfId="145" xr:uid="{00000000-0005-0000-0000-0000A4000000}"/>
    <cellStyle name="Accent2 - 40% 11" xfId="146" xr:uid="{00000000-0005-0000-0000-0000A5000000}"/>
    <cellStyle name="Accent2 - 40% 12" xfId="147" xr:uid="{00000000-0005-0000-0000-0000A6000000}"/>
    <cellStyle name="Accent2 - 40% 13" xfId="148" xr:uid="{00000000-0005-0000-0000-0000A7000000}"/>
    <cellStyle name="Accent2 - 40% 2" xfId="149" xr:uid="{00000000-0005-0000-0000-0000A8000000}"/>
    <cellStyle name="Accent2 - 40% 2 2" xfId="150" xr:uid="{00000000-0005-0000-0000-0000A9000000}"/>
    <cellStyle name="Accent2 - 40% 2 2 2" xfId="151" xr:uid="{00000000-0005-0000-0000-0000AA000000}"/>
    <cellStyle name="Accent2 - 40% 3" xfId="152" xr:uid="{00000000-0005-0000-0000-0000AB000000}"/>
    <cellStyle name="Accent2 - 40% 3 2" xfId="153" xr:uid="{00000000-0005-0000-0000-0000AC000000}"/>
    <cellStyle name="Accent2 - 40% 4" xfId="154" xr:uid="{00000000-0005-0000-0000-0000AD000000}"/>
    <cellStyle name="Accent2 - 40% 4 2" xfId="155" xr:uid="{00000000-0005-0000-0000-0000AE000000}"/>
    <cellStyle name="Accent2 - 40% 5" xfId="156" xr:uid="{00000000-0005-0000-0000-0000AF000000}"/>
    <cellStyle name="Accent2 - 40% 5 2" xfId="157" xr:uid="{00000000-0005-0000-0000-0000B0000000}"/>
    <cellStyle name="Accent2 - 40% 6" xfId="158" xr:uid="{00000000-0005-0000-0000-0000B1000000}"/>
    <cellStyle name="Accent2 - 40% 6 2" xfId="159" xr:uid="{00000000-0005-0000-0000-0000B2000000}"/>
    <cellStyle name="Accent2 - 40% 7" xfId="160" xr:uid="{00000000-0005-0000-0000-0000B3000000}"/>
    <cellStyle name="Accent2 - 40% 8" xfId="161" xr:uid="{00000000-0005-0000-0000-0000B4000000}"/>
    <cellStyle name="Accent2 - 40% 9" xfId="162" xr:uid="{00000000-0005-0000-0000-0000B5000000}"/>
    <cellStyle name="Accent2 - 40%_Combinación de negocios - AA-IAMv3" xfId="163" xr:uid="{00000000-0005-0000-0000-0000B6000000}"/>
    <cellStyle name="Accent2 - 60%" xfId="164" xr:uid="{00000000-0005-0000-0000-0000B7000000}"/>
    <cellStyle name="Accent2 - 60% 10" xfId="165" xr:uid="{00000000-0005-0000-0000-0000B8000000}"/>
    <cellStyle name="Accent2 - 60% 11" xfId="166" xr:uid="{00000000-0005-0000-0000-0000B9000000}"/>
    <cellStyle name="Accent2 - 60% 2" xfId="167" xr:uid="{00000000-0005-0000-0000-0000BA000000}"/>
    <cellStyle name="Accent2 - 60% 2 2" xfId="168" xr:uid="{00000000-0005-0000-0000-0000BB000000}"/>
    <cellStyle name="Accent2 - 60% 2 2 2" xfId="169" xr:uid="{00000000-0005-0000-0000-0000BC000000}"/>
    <cellStyle name="Accent2 - 60% 3" xfId="170" xr:uid="{00000000-0005-0000-0000-0000BD000000}"/>
    <cellStyle name="Accent2 - 60% 4" xfId="171" xr:uid="{00000000-0005-0000-0000-0000BE000000}"/>
    <cellStyle name="Accent2 - 60% 5" xfId="172" xr:uid="{00000000-0005-0000-0000-0000BF000000}"/>
    <cellStyle name="Accent2 - 60% 6" xfId="173" xr:uid="{00000000-0005-0000-0000-0000C0000000}"/>
    <cellStyle name="Accent2 - 60% 7" xfId="174" xr:uid="{00000000-0005-0000-0000-0000C1000000}"/>
    <cellStyle name="Accent2 - 60% 8" xfId="175" xr:uid="{00000000-0005-0000-0000-0000C2000000}"/>
    <cellStyle name="Accent2 - 60% 9" xfId="176" xr:uid="{00000000-0005-0000-0000-0000C3000000}"/>
    <cellStyle name="Accent3" xfId="607" xr:uid="{00000000-0005-0000-0000-0000C4000000}"/>
    <cellStyle name="Accent3 - 20%" xfId="177" xr:uid="{00000000-0005-0000-0000-0000C5000000}"/>
    <cellStyle name="Accent3 - 20% 10" xfId="178" xr:uid="{00000000-0005-0000-0000-0000C6000000}"/>
    <cellStyle name="Accent3 - 20% 11" xfId="179" xr:uid="{00000000-0005-0000-0000-0000C7000000}"/>
    <cellStyle name="Accent3 - 20% 12" xfId="180" xr:uid="{00000000-0005-0000-0000-0000C8000000}"/>
    <cellStyle name="Accent3 - 20% 13" xfId="181" xr:uid="{00000000-0005-0000-0000-0000C9000000}"/>
    <cellStyle name="Accent3 - 20% 2" xfId="182" xr:uid="{00000000-0005-0000-0000-0000CA000000}"/>
    <cellStyle name="Accent3 - 20% 2 2" xfId="183" xr:uid="{00000000-0005-0000-0000-0000CB000000}"/>
    <cellStyle name="Accent3 - 20% 2 2 2" xfId="184" xr:uid="{00000000-0005-0000-0000-0000CC000000}"/>
    <cellStyle name="Accent3 - 20% 3" xfId="185" xr:uid="{00000000-0005-0000-0000-0000CD000000}"/>
    <cellStyle name="Accent3 - 20% 3 2" xfId="186" xr:uid="{00000000-0005-0000-0000-0000CE000000}"/>
    <cellStyle name="Accent3 - 20% 4" xfId="187" xr:uid="{00000000-0005-0000-0000-0000CF000000}"/>
    <cellStyle name="Accent3 - 20% 4 2" xfId="188" xr:uid="{00000000-0005-0000-0000-0000D0000000}"/>
    <cellStyle name="Accent3 - 20% 5" xfId="189" xr:uid="{00000000-0005-0000-0000-0000D1000000}"/>
    <cellStyle name="Accent3 - 20% 5 2" xfId="190" xr:uid="{00000000-0005-0000-0000-0000D2000000}"/>
    <cellStyle name="Accent3 - 20% 6" xfId="191" xr:uid="{00000000-0005-0000-0000-0000D3000000}"/>
    <cellStyle name="Accent3 - 20% 6 2" xfId="192" xr:uid="{00000000-0005-0000-0000-0000D4000000}"/>
    <cellStyle name="Accent3 - 20% 7" xfId="193" xr:uid="{00000000-0005-0000-0000-0000D5000000}"/>
    <cellStyle name="Accent3 - 20% 8" xfId="194" xr:uid="{00000000-0005-0000-0000-0000D6000000}"/>
    <cellStyle name="Accent3 - 20% 9" xfId="195" xr:uid="{00000000-0005-0000-0000-0000D7000000}"/>
    <cellStyle name="Accent3 - 20%_Combinación de negocios - AA-IAMv3" xfId="196" xr:uid="{00000000-0005-0000-0000-0000D8000000}"/>
    <cellStyle name="Accent3 - 40%" xfId="197" xr:uid="{00000000-0005-0000-0000-0000D9000000}"/>
    <cellStyle name="Accent3 - 40% 10" xfId="198" xr:uid="{00000000-0005-0000-0000-0000DA000000}"/>
    <cellStyle name="Accent3 - 40% 11" xfId="199" xr:uid="{00000000-0005-0000-0000-0000DB000000}"/>
    <cellStyle name="Accent3 - 40% 12" xfId="200" xr:uid="{00000000-0005-0000-0000-0000DC000000}"/>
    <cellStyle name="Accent3 - 40% 13" xfId="201" xr:uid="{00000000-0005-0000-0000-0000DD000000}"/>
    <cellStyle name="Accent3 - 40% 2" xfId="202" xr:uid="{00000000-0005-0000-0000-0000DE000000}"/>
    <cellStyle name="Accent3 - 40% 2 2" xfId="203" xr:uid="{00000000-0005-0000-0000-0000DF000000}"/>
    <cellStyle name="Accent3 - 40% 2 2 2" xfId="204" xr:uid="{00000000-0005-0000-0000-0000E0000000}"/>
    <cellStyle name="Accent3 - 40% 3" xfId="205" xr:uid="{00000000-0005-0000-0000-0000E1000000}"/>
    <cellStyle name="Accent3 - 40% 3 2" xfId="206" xr:uid="{00000000-0005-0000-0000-0000E2000000}"/>
    <cellStyle name="Accent3 - 40% 4" xfId="207" xr:uid="{00000000-0005-0000-0000-0000E3000000}"/>
    <cellStyle name="Accent3 - 40% 4 2" xfId="208" xr:uid="{00000000-0005-0000-0000-0000E4000000}"/>
    <cellStyle name="Accent3 - 40% 5" xfId="209" xr:uid="{00000000-0005-0000-0000-0000E5000000}"/>
    <cellStyle name="Accent3 - 40% 5 2" xfId="210" xr:uid="{00000000-0005-0000-0000-0000E6000000}"/>
    <cellStyle name="Accent3 - 40% 6" xfId="211" xr:uid="{00000000-0005-0000-0000-0000E7000000}"/>
    <cellStyle name="Accent3 - 40% 6 2" xfId="212" xr:uid="{00000000-0005-0000-0000-0000E8000000}"/>
    <cellStyle name="Accent3 - 40% 7" xfId="213" xr:uid="{00000000-0005-0000-0000-0000E9000000}"/>
    <cellStyle name="Accent3 - 40% 8" xfId="214" xr:uid="{00000000-0005-0000-0000-0000EA000000}"/>
    <cellStyle name="Accent3 - 40% 9" xfId="215" xr:uid="{00000000-0005-0000-0000-0000EB000000}"/>
    <cellStyle name="Accent3 - 40%_Combinación de negocios - AA-IAMv3" xfId="216" xr:uid="{00000000-0005-0000-0000-0000EC000000}"/>
    <cellStyle name="Accent3 - 60%" xfId="217" xr:uid="{00000000-0005-0000-0000-0000ED000000}"/>
    <cellStyle name="Accent3 - 60% 10" xfId="218" xr:uid="{00000000-0005-0000-0000-0000EE000000}"/>
    <cellStyle name="Accent3 - 60% 11" xfId="219" xr:uid="{00000000-0005-0000-0000-0000EF000000}"/>
    <cellStyle name="Accent3 - 60% 2" xfId="220" xr:uid="{00000000-0005-0000-0000-0000F0000000}"/>
    <cellStyle name="Accent3 - 60% 2 2" xfId="221" xr:uid="{00000000-0005-0000-0000-0000F1000000}"/>
    <cellStyle name="Accent3 - 60% 2 2 2" xfId="222" xr:uid="{00000000-0005-0000-0000-0000F2000000}"/>
    <cellStyle name="Accent3 - 60% 3" xfId="223" xr:uid="{00000000-0005-0000-0000-0000F3000000}"/>
    <cellStyle name="Accent3 - 60% 4" xfId="224" xr:uid="{00000000-0005-0000-0000-0000F4000000}"/>
    <cellStyle name="Accent3 - 60% 5" xfId="225" xr:uid="{00000000-0005-0000-0000-0000F5000000}"/>
    <cellStyle name="Accent3 - 60% 6" xfId="226" xr:uid="{00000000-0005-0000-0000-0000F6000000}"/>
    <cellStyle name="Accent3 - 60% 7" xfId="227" xr:uid="{00000000-0005-0000-0000-0000F7000000}"/>
    <cellStyle name="Accent3 - 60% 8" xfId="228" xr:uid="{00000000-0005-0000-0000-0000F8000000}"/>
    <cellStyle name="Accent3 - 60% 9" xfId="229" xr:uid="{00000000-0005-0000-0000-0000F9000000}"/>
    <cellStyle name="Accent4" xfId="634" xr:uid="{00000000-0005-0000-0000-0000FA000000}"/>
    <cellStyle name="Accent4 - 20%" xfId="230" xr:uid="{00000000-0005-0000-0000-0000FB000000}"/>
    <cellStyle name="Accent4 - 20% 10" xfId="231" xr:uid="{00000000-0005-0000-0000-0000FC000000}"/>
    <cellStyle name="Accent4 - 20% 11" xfId="232" xr:uid="{00000000-0005-0000-0000-0000FD000000}"/>
    <cellStyle name="Accent4 - 20% 12" xfId="233" xr:uid="{00000000-0005-0000-0000-0000FE000000}"/>
    <cellStyle name="Accent4 - 20% 13" xfId="234" xr:uid="{00000000-0005-0000-0000-0000FF000000}"/>
    <cellStyle name="Accent4 - 20% 2" xfId="235" xr:uid="{00000000-0005-0000-0000-000000010000}"/>
    <cellStyle name="Accent4 - 20% 2 2" xfId="236" xr:uid="{00000000-0005-0000-0000-000001010000}"/>
    <cellStyle name="Accent4 - 20% 2 2 2" xfId="237" xr:uid="{00000000-0005-0000-0000-000002010000}"/>
    <cellStyle name="Accent4 - 20% 3" xfId="238" xr:uid="{00000000-0005-0000-0000-000003010000}"/>
    <cellStyle name="Accent4 - 20% 3 2" xfId="239" xr:uid="{00000000-0005-0000-0000-000004010000}"/>
    <cellStyle name="Accent4 - 20% 4" xfId="240" xr:uid="{00000000-0005-0000-0000-000005010000}"/>
    <cellStyle name="Accent4 - 20% 4 2" xfId="241" xr:uid="{00000000-0005-0000-0000-000006010000}"/>
    <cellStyle name="Accent4 - 20% 5" xfId="242" xr:uid="{00000000-0005-0000-0000-000007010000}"/>
    <cellStyle name="Accent4 - 20% 5 2" xfId="243" xr:uid="{00000000-0005-0000-0000-000008010000}"/>
    <cellStyle name="Accent4 - 20% 6" xfId="244" xr:uid="{00000000-0005-0000-0000-000009010000}"/>
    <cellStyle name="Accent4 - 20% 6 2" xfId="245" xr:uid="{00000000-0005-0000-0000-00000A010000}"/>
    <cellStyle name="Accent4 - 20% 7" xfId="246" xr:uid="{00000000-0005-0000-0000-00000B010000}"/>
    <cellStyle name="Accent4 - 20% 8" xfId="247" xr:uid="{00000000-0005-0000-0000-00000C010000}"/>
    <cellStyle name="Accent4 - 20% 9" xfId="248" xr:uid="{00000000-0005-0000-0000-00000D010000}"/>
    <cellStyle name="Accent4 - 20%_Combinación de negocios - AA-IAMv3" xfId="249" xr:uid="{00000000-0005-0000-0000-00000E010000}"/>
    <cellStyle name="Accent4 - 40%" xfId="250" xr:uid="{00000000-0005-0000-0000-00000F010000}"/>
    <cellStyle name="Accent4 - 40% 10" xfId="251" xr:uid="{00000000-0005-0000-0000-000010010000}"/>
    <cellStyle name="Accent4 - 40% 11" xfId="252" xr:uid="{00000000-0005-0000-0000-000011010000}"/>
    <cellStyle name="Accent4 - 40% 12" xfId="253" xr:uid="{00000000-0005-0000-0000-000012010000}"/>
    <cellStyle name="Accent4 - 40% 13" xfId="254" xr:uid="{00000000-0005-0000-0000-000013010000}"/>
    <cellStyle name="Accent4 - 40% 2" xfId="255" xr:uid="{00000000-0005-0000-0000-000014010000}"/>
    <cellStyle name="Accent4 - 40% 2 2" xfId="256" xr:uid="{00000000-0005-0000-0000-000015010000}"/>
    <cellStyle name="Accent4 - 40% 2 2 2" xfId="257" xr:uid="{00000000-0005-0000-0000-000016010000}"/>
    <cellStyle name="Accent4 - 40% 3" xfId="258" xr:uid="{00000000-0005-0000-0000-000017010000}"/>
    <cellStyle name="Accent4 - 40% 3 2" xfId="259" xr:uid="{00000000-0005-0000-0000-000018010000}"/>
    <cellStyle name="Accent4 - 40% 4" xfId="260" xr:uid="{00000000-0005-0000-0000-000019010000}"/>
    <cellStyle name="Accent4 - 40% 4 2" xfId="261" xr:uid="{00000000-0005-0000-0000-00001A010000}"/>
    <cellStyle name="Accent4 - 40% 5" xfId="262" xr:uid="{00000000-0005-0000-0000-00001B010000}"/>
    <cellStyle name="Accent4 - 40% 5 2" xfId="263" xr:uid="{00000000-0005-0000-0000-00001C010000}"/>
    <cellStyle name="Accent4 - 40% 6" xfId="264" xr:uid="{00000000-0005-0000-0000-00001D010000}"/>
    <cellStyle name="Accent4 - 40% 6 2" xfId="265" xr:uid="{00000000-0005-0000-0000-00001E010000}"/>
    <cellStyle name="Accent4 - 40% 7" xfId="266" xr:uid="{00000000-0005-0000-0000-00001F010000}"/>
    <cellStyle name="Accent4 - 40% 8" xfId="267" xr:uid="{00000000-0005-0000-0000-000020010000}"/>
    <cellStyle name="Accent4 - 40% 9" xfId="268" xr:uid="{00000000-0005-0000-0000-000021010000}"/>
    <cellStyle name="Accent4 - 40%_Combinación de negocios - AA-IAMv3" xfId="269" xr:uid="{00000000-0005-0000-0000-000022010000}"/>
    <cellStyle name="Accent4 - 60%" xfId="270" xr:uid="{00000000-0005-0000-0000-000023010000}"/>
    <cellStyle name="Accent4 - 60% 10" xfId="271" xr:uid="{00000000-0005-0000-0000-000024010000}"/>
    <cellStyle name="Accent4 - 60% 11" xfId="272" xr:uid="{00000000-0005-0000-0000-000025010000}"/>
    <cellStyle name="Accent4 - 60% 2" xfId="273" xr:uid="{00000000-0005-0000-0000-000026010000}"/>
    <cellStyle name="Accent4 - 60% 2 2" xfId="274" xr:uid="{00000000-0005-0000-0000-000027010000}"/>
    <cellStyle name="Accent4 - 60% 2 2 2" xfId="275" xr:uid="{00000000-0005-0000-0000-000028010000}"/>
    <cellStyle name="Accent4 - 60% 3" xfId="276" xr:uid="{00000000-0005-0000-0000-000029010000}"/>
    <cellStyle name="Accent4 - 60% 4" xfId="277" xr:uid="{00000000-0005-0000-0000-00002A010000}"/>
    <cellStyle name="Accent4 - 60% 5" xfId="278" xr:uid="{00000000-0005-0000-0000-00002B010000}"/>
    <cellStyle name="Accent4 - 60% 6" xfId="279" xr:uid="{00000000-0005-0000-0000-00002C010000}"/>
    <cellStyle name="Accent4 - 60% 7" xfId="280" xr:uid="{00000000-0005-0000-0000-00002D010000}"/>
    <cellStyle name="Accent4 - 60% 8" xfId="281" xr:uid="{00000000-0005-0000-0000-00002E010000}"/>
    <cellStyle name="Accent4 - 60% 9" xfId="282" xr:uid="{00000000-0005-0000-0000-00002F010000}"/>
    <cellStyle name="Accent5" xfId="661" xr:uid="{00000000-0005-0000-0000-000030010000}"/>
    <cellStyle name="Accent5 - 20%" xfId="283" xr:uid="{00000000-0005-0000-0000-000031010000}"/>
    <cellStyle name="Accent5 - 20% 10" xfId="284" xr:uid="{00000000-0005-0000-0000-000032010000}"/>
    <cellStyle name="Accent5 - 20% 11" xfId="285" xr:uid="{00000000-0005-0000-0000-000033010000}"/>
    <cellStyle name="Accent5 - 20% 12" xfId="286" xr:uid="{00000000-0005-0000-0000-000034010000}"/>
    <cellStyle name="Accent5 - 20% 13" xfId="287" xr:uid="{00000000-0005-0000-0000-000035010000}"/>
    <cellStyle name="Accent5 - 20% 2" xfId="288" xr:uid="{00000000-0005-0000-0000-000036010000}"/>
    <cellStyle name="Accent5 - 20% 2 2" xfId="289" xr:uid="{00000000-0005-0000-0000-000037010000}"/>
    <cellStyle name="Accent5 - 20% 2 2 2" xfId="290" xr:uid="{00000000-0005-0000-0000-000038010000}"/>
    <cellStyle name="Accent5 - 20% 3" xfId="291" xr:uid="{00000000-0005-0000-0000-000039010000}"/>
    <cellStyle name="Accent5 - 20% 3 2" xfId="292" xr:uid="{00000000-0005-0000-0000-00003A010000}"/>
    <cellStyle name="Accent5 - 20% 4" xfId="293" xr:uid="{00000000-0005-0000-0000-00003B010000}"/>
    <cellStyle name="Accent5 - 20% 4 2" xfId="294" xr:uid="{00000000-0005-0000-0000-00003C010000}"/>
    <cellStyle name="Accent5 - 20% 5" xfId="295" xr:uid="{00000000-0005-0000-0000-00003D010000}"/>
    <cellStyle name="Accent5 - 20% 5 2" xfId="296" xr:uid="{00000000-0005-0000-0000-00003E010000}"/>
    <cellStyle name="Accent5 - 20% 6" xfId="297" xr:uid="{00000000-0005-0000-0000-00003F010000}"/>
    <cellStyle name="Accent5 - 20% 6 2" xfId="298" xr:uid="{00000000-0005-0000-0000-000040010000}"/>
    <cellStyle name="Accent5 - 20% 7" xfId="299" xr:uid="{00000000-0005-0000-0000-000041010000}"/>
    <cellStyle name="Accent5 - 20% 8" xfId="300" xr:uid="{00000000-0005-0000-0000-000042010000}"/>
    <cellStyle name="Accent5 - 20% 9" xfId="301" xr:uid="{00000000-0005-0000-0000-000043010000}"/>
    <cellStyle name="Accent5 - 20%_Combinación de negocios - AA-IAMv3" xfId="302" xr:uid="{00000000-0005-0000-0000-000044010000}"/>
    <cellStyle name="Accent5 - 40%" xfId="303" xr:uid="{00000000-0005-0000-0000-000045010000}"/>
    <cellStyle name="Accent5 - 40% 2" xfId="304" xr:uid="{00000000-0005-0000-0000-000046010000}"/>
    <cellStyle name="Accent5 - 40% 2 2" xfId="305" xr:uid="{00000000-0005-0000-0000-000047010000}"/>
    <cellStyle name="Accent5 - 40% 3" xfId="306" xr:uid="{00000000-0005-0000-0000-000048010000}"/>
    <cellStyle name="Accent5 - 40% 3 2" xfId="307" xr:uid="{00000000-0005-0000-0000-000049010000}"/>
    <cellStyle name="Accent5 - 40% 4" xfId="308" xr:uid="{00000000-0005-0000-0000-00004A010000}"/>
    <cellStyle name="Accent5 - 40% 4 2" xfId="309" xr:uid="{00000000-0005-0000-0000-00004B010000}"/>
    <cellStyle name="Accent5 - 40% 5" xfId="310" xr:uid="{00000000-0005-0000-0000-00004C010000}"/>
    <cellStyle name="Accent5 - 40% 5 2" xfId="311" xr:uid="{00000000-0005-0000-0000-00004D010000}"/>
    <cellStyle name="Accent5 - 40% 6" xfId="312" xr:uid="{00000000-0005-0000-0000-00004E010000}"/>
    <cellStyle name="Accent5 - 40% 6 2" xfId="313" xr:uid="{00000000-0005-0000-0000-00004F010000}"/>
    <cellStyle name="Accent5 - 40% 7" xfId="314" xr:uid="{00000000-0005-0000-0000-000050010000}"/>
    <cellStyle name="Accent5 - 40% 8" xfId="315" xr:uid="{00000000-0005-0000-0000-000051010000}"/>
    <cellStyle name="Accent5 - 40% 9" xfId="316" xr:uid="{00000000-0005-0000-0000-000052010000}"/>
    <cellStyle name="Accent5 - 40%_Combinación de negocios - AA-IAMv3" xfId="317" xr:uid="{00000000-0005-0000-0000-000053010000}"/>
    <cellStyle name="Accent5 - 60%" xfId="318" xr:uid="{00000000-0005-0000-0000-000054010000}"/>
    <cellStyle name="Accent5 - 60% 10" xfId="319" xr:uid="{00000000-0005-0000-0000-000055010000}"/>
    <cellStyle name="Accent5 - 60% 11" xfId="320" xr:uid="{00000000-0005-0000-0000-000056010000}"/>
    <cellStyle name="Accent5 - 60% 2" xfId="321" xr:uid="{00000000-0005-0000-0000-000057010000}"/>
    <cellStyle name="Accent5 - 60% 2 2" xfId="322" xr:uid="{00000000-0005-0000-0000-000058010000}"/>
    <cellStyle name="Accent5 - 60% 2 2 2" xfId="323" xr:uid="{00000000-0005-0000-0000-000059010000}"/>
    <cellStyle name="Accent5 - 60% 3" xfId="324" xr:uid="{00000000-0005-0000-0000-00005A010000}"/>
    <cellStyle name="Accent5 - 60% 4" xfId="325" xr:uid="{00000000-0005-0000-0000-00005B010000}"/>
    <cellStyle name="Accent5 - 60% 5" xfId="326" xr:uid="{00000000-0005-0000-0000-00005C010000}"/>
    <cellStyle name="Accent5 - 60% 6" xfId="327" xr:uid="{00000000-0005-0000-0000-00005D010000}"/>
    <cellStyle name="Accent5 - 60% 7" xfId="328" xr:uid="{00000000-0005-0000-0000-00005E010000}"/>
    <cellStyle name="Accent5 - 60% 8" xfId="329" xr:uid="{00000000-0005-0000-0000-00005F010000}"/>
    <cellStyle name="Accent5 - 60% 9" xfId="330" xr:uid="{00000000-0005-0000-0000-000060010000}"/>
    <cellStyle name="Accent6" xfId="688" xr:uid="{00000000-0005-0000-0000-000061010000}"/>
    <cellStyle name="Accent6 - 20%" xfId="331" xr:uid="{00000000-0005-0000-0000-000062010000}"/>
    <cellStyle name="Accent6 - 20% 2" xfId="332" xr:uid="{00000000-0005-0000-0000-000063010000}"/>
    <cellStyle name="Accent6 - 20% 2 2" xfId="333" xr:uid="{00000000-0005-0000-0000-000064010000}"/>
    <cellStyle name="Accent6 - 20% 3" xfId="334" xr:uid="{00000000-0005-0000-0000-000065010000}"/>
    <cellStyle name="Accent6 - 20% 3 2" xfId="335" xr:uid="{00000000-0005-0000-0000-000066010000}"/>
    <cellStyle name="Accent6 - 20% 4" xfId="336" xr:uid="{00000000-0005-0000-0000-000067010000}"/>
    <cellStyle name="Accent6 - 20% 4 2" xfId="337" xr:uid="{00000000-0005-0000-0000-000068010000}"/>
    <cellStyle name="Accent6 - 20% 5" xfId="338" xr:uid="{00000000-0005-0000-0000-000069010000}"/>
    <cellStyle name="Accent6 - 20% 5 2" xfId="339" xr:uid="{00000000-0005-0000-0000-00006A010000}"/>
    <cellStyle name="Accent6 - 20% 6" xfId="340" xr:uid="{00000000-0005-0000-0000-00006B010000}"/>
    <cellStyle name="Accent6 - 20% 6 2" xfId="341" xr:uid="{00000000-0005-0000-0000-00006C010000}"/>
    <cellStyle name="Accent6 - 20% 7" xfId="342" xr:uid="{00000000-0005-0000-0000-00006D010000}"/>
    <cellStyle name="Accent6 - 20% 8" xfId="343" xr:uid="{00000000-0005-0000-0000-00006E010000}"/>
    <cellStyle name="Accent6 - 20% 9" xfId="344" xr:uid="{00000000-0005-0000-0000-00006F010000}"/>
    <cellStyle name="Accent6 - 20%_Combinación de negocios - AA-IAMv3" xfId="345" xr:uid="{00000000-0005-0000-0000-000070010000}"/>
    <cellStyle name="Accent6 - 40%" xfId="346" xr:uid="{00000000-0005-0000-0000-000071010000}"/>
    <cellStyle name="Accent6 - 40% 10" xfId="347" xr:uid="{00000000-0005-0000-0000-000072010000}"/>
    <cellStyle name="Accent6 - 40% 11" xfId="348" xr:uid="{00000000-0005-0000-0000-000073010000}"/>
    <cellStyle name="Accent6 - 40% 12" xfId="349" xr:uid="{00000000-0005-0000-0000-000074010000}"/>
    <cellStyle name="Accent6 - 40% 13" xfId="350" xr:uid="{00000000-0005-0000-0000-000075010000}"/>
    <cellStyle name="Accent6 - 40% 2" xfId="351" xr:uid="{00000000-0005-0000-0000-000076010000}"/>
    <cellStyle name="Accent6 - 40% 2 2" xfId="352" xr:uid="{00000000-0005-0000-0000-000077010000}"/>
    <cellStyle name="Accent6 - 40% 2 2 2" xfId="353" xr:uid="{00000000-0005-0000-0000-000078010000}"/>
    <cellStyle name="Accent6 - 40% 3" xfId="354" xr:uid="{00000000-0005-0000-0000-000079010000}"/>
    <cellStyle name="Accent6 - 40% 3 2" xfId="355" xr:uid="{00000000-0005-0000-0000-00007A010000}"/>
    <cellStyle name="Accent6 - 40% 4" xfId="356" xr:uid="{00000000-0005-0000-0000-00007B010000}"/>
    <cellStyle name="Accent6 - 40% 4 2" xfId="357" xr:uid="{00000000-0005-0000-0000-00007C010000}"/>
    <cellStyle name="Accent6 - 40% 5" xfId="358" xr:uid="{00000000-0005-0000-0000-00007D010000}"/>
    <cellStyle name="Accent6 - 40% 5 2" xfId="359" xr:uid="{00000000-0005-0000-0000-00007E010000}"/>
    <cellStyle name="Accent6 - 40% 6" xfId="360" xr:uid="{00000000-0005-0000-0000-00007F010000}"/>
    <cellStyle name="Accent6 - 40% 6 2" xfId="361" xr:uid="{00000000-0005-0000-0000-000080010000}"/>
    <cellStyle name="Accent6 - 40% 7" xfId="362" xr:uid="{00000000-0005-0000-0000-000081010000}"/>
    <cellStyle name="Accent6 - 40% 8" xfId="363" xr:uid="{00000000-0005-0000-0000-000082010000}"/>
    <cellStyle name="Accent6 - 40% 9" xfId="364" xr:uid="{00000000-0005-0000-0000-000083010000}"/>
    <cellStyle name="Accent6 - 40%_Combinación de negocios - AA-IAMv3" xfId="365" xr:uid="{00000000-0005-0000-0000-000084010000}"/>
    <cellStyle name="Accent6 - 60%" xfId="366" xr:uid="{00000000-0005-0000-0000-000085010000}"/>
    <cellStyle name="Accent6 - 60% 10" xfId="367" xr:uid="{00000000-0005-0000-0000-000086010000}"/>
    <cellStyle name="Accent6 - 60% 11" xfId="368" xr:uid="{00000000-0005-0000-0000-000087010000}"/>
    <cellStyle name="Accent6 - 60% 2" xfId="369" xr:uid="{00000000-0005-0000-0000-000088010000}"/>
    <cellStyle name="Accent6 - 60% 2 2" xfId="370" xr:uid="{00000000-0005-0000-0000-000089010000}"/>
    <cellStyle name="Accent6 - 60% 2 2 2" xfId="371" xr:uid="{00000000-0005-0000-0000-00008A010000}"/>
    <cellStyle name="Accent6 - 60% 3" xfId="372" xr:uid="{00000000-0005-0000-0000-00008B010000}"/>
    <cellStyle name="Accent6 - 60% 4" xfId="373" xr:uid="{00000000-0005-0000-0000-00008C010000}"/>
    <cellStyle name="Accent6 - 60% 5" xfId="374" xr:uid="{00000000-0005-0000-0000-00008D010000}"/>
    <cellStyle name="Accent6 - 60% 6" xfId="375" xr:uid="{00000000-0005-0000-0000-00008E010000}"/>
    <cellStyle name="Accent6 - 60% 7" xfId="376" xr:uid="{00000000-0005-0000-0000-00008F010000}"/>
    <cellStyle name="Accent6 - 60% 8" xfId="377" xr:uid="{00000000-0005-0000-0000-000090010000}"/>
    <cellStyle name="Accent6 - 60% 9" xfId="378" xr:uid="{00000000-0005-0000-0000-000091010000}"/>
    <cellStyle name="Akcent 1" xfId="379" xr:uid="{00000000-0005-0000-0000-000092010000}"/>
    <cellStyle name="Akcent 2" xfId="380" xr:uid="{00000000-0005-0000-0000-000093010000}"/>
    <cellStyle name="Akcent 3" xfId="381" xr:uid="{00000000-0005-0000-0000-000094010000}"/>
    <cellStyle name="Akcent 4" xfId="382" xr:uid="{00000000-0005-0000-0000-000095010000}"/>
    <cellStyle name="Akcent 5" xfId="383" xr:uid="{00000000-0005-0000-0000-000096010000}"/>
    <cellStyle name="Akcent 6" xfId="384" xr:uid="{00000000-0005-0000-0000-000097010000}"/>
    <cellStyle name="Bad" xfId="753" xr:uid="{00000000-0005-0000-0000-000098010000}"/>
    <cellStyle name="Buena 2" xfId="385" xr:uid="{00000000-0005-0000-0000-000099010000}"/>
    <cellStyle name="Buena 2 2" xfId="386" xr:uid="{00000000-0005-0000-0000-00009A010000}"/>
    <cellStyle name="Buena 2 3" xfId="387" xr:uid="{00000000-0005-0000-0000-00009B010000}"/>
    <cellStyle name="Buena 2 4" xfId="388" xr:uid="{00000000-0005-0000-0000-00009C010000}"/>
    <cellStyle name="Buena 2 5" xfId="389" xr:uid="{00000000-0005-0000-0000-00009D010000}"/>
    <cellStyle name="Buena 2 6" xfId="390" xr:uid="{00000000-0005-0000-0000-00009E010000}"/>
    <cellStyle name="Buena 3" xfId="391" xr:uid="{00000000-0005-0000-0000-00009F010000}"/>
    <cellStyle name="Buena 3 2" xfId="392" xr:uid="{00000000-0005-0000-0000-0000A0010000}"/>
    <cellStyle name="Buena 3 3" xfId="393" xr:uid="{00000000-0005-0000-0000-0000A1010000}"/>
    <cellStyle name="Buena 3 4" xfId="394" xr:uid="{00000000-0005-0000-0000-0000A2010000}"/>
    <cellStyle name="Buena 3 5" xfId="395" xr:uid="{00000000-0005-0000-0000-0000A3010000}"/>
    <cellStyle name="Buena 4" xfId="396" xr:uid="{00000000-0005-0000-0000-0000A4010000}"/>
    <cellStyle name="Buena 4 2" xfId="397" xr:uid="{00000000-0005-0000-0000-0000A5010000}"/>
    <cellStyle name="Buena 4 3" xfId="398" xr:uid="{00000000-0005-0000-0000-0000A6010000}"/>
    <cellStyle name="Buena 4 4" xfId="399" xr:uid="{00000000-0005-0000-0000-0000A7010000}"/>
    <cellStyle name="Buena 4 5" xfId="400" xr:uid="{00000000-0005-0000-0000-0000A8010000}"/>
    <cellStyle name="Buena 5" xfId="401" xr:uid="{00000000-0005-0000-0000-0000A9010000}"/>
    <cellStyle name="Buena 5 2" xfId="402" xr:uid="{00000000-0005-0000-0000-0000AA010000}"/>
    <cellStyle name="Buena 5 3" xfId="403" xr:uid="{00000000-0005-0000-0000-0000AB010000}"/>
    <cellStyle name="Buena 5 4" xfId="404" xr:uid="{00000000-0005-0000-0000-0000AC010000}"/>
    <cellStyle name="Buena 5 5" xfId="405" xr:uid="{00000000-0005-0000-0000-0000AD010000}"/>
    <cellStyle name="Buena 6" xfId="406" xr:uid="{00000000-0005-0000-0000-0000AE010000}"/>
    <cellStyle name="Buena 6 2" xfId="407" xr:uid="{00000000-0005-0000-0000-0000AF010000}"/>
    <cellStyle name="Buena 7" xfId="408" xr:uid="{00000000-0005-0000-0000-0000B0010000}"/>
    <cellStyle name="Buena 7 2" xfId="409" xr:uid="{00000000-0005-0000-0000-0000B1010000}"/>
    <cellStyle name="Buena 8" xfId="410" xr:uid="{00000000-0005-0000-0000-0000B2010000}"/>
    <cellStyle name="Buena 8 2" xfId="411" xr:uid="{00000000-0005-0000-0000-0000B3010000}"/>
    <cellStyle name="Buena 9" xfId="412" xr:uid="{00000000-0005-0000-0000-0000B4010000}"/>
    <cellStyle name="Buena 9 2" xfId="413" xr:uid="{00000000-0005-0000-0000-0000B5010000}"/>
    <cellStyle name="Bueno" xfId="742" builtinId="26" customBuiltin="1"/>
    <cellStyle name="Calculation" xfId="414" xr:uid="{00000000-0005-0000-0000-0000B7010000}"/>
    <cellStyle name="Cálculo 2" xfId="415" xr:uid="{00000000-0005-0000-0000-0000B9010000}"/>
    <cellStyle name="Cálculo 2 2" xfId="416" xr:uid="{00000000-0005-0000-0000-0000BA010000}"/>
    <cellStyle name="Cálculo 2 3" xfId="417" xr:uid="{00000000-0005-0000-0000-0000BB010000}"/>
    <cellStyle name="Cálculo 2 4" xfId="418" xr:uid="{00000000-0005-0000-0000-0000BC010000}"/>
    <cellStyle name="Cálculo 2 5" xfId="419" xr:uid="{00000000-0005-0000-0000-0000BD010000}"/>
    <cellStyle name="Cálculo 2 6" xfId="420" xr:uid="{00000000-0005-0000-0000-0000BE010000}"/>
    <cellStyle name="Cálculo 3" xfId="421" xr:uid="{00000000-0005-0000-0000-0000BF010000}"/>
    <cellStyle name="Cálculo 3 2" xfId="422" xr:uid="{00000000-0005-0000-0000-0000C0010000}"/>
    <cellStyle name="Cálculo 3 3" xfId="423" xr:uid="{00000000-0005-0000-0000-0000C1010000}"/>
    <cellStyle name="Cálculo 3 4" xfId="424" xr:uid="{00000000-0005-0000-0000-0000C2010000}"/>
    <cellStyle name="Cálculo 3 5" xfId="425" xr:uid="{00000000-0005-0000-0000-0000C3010000}"/>
    <cellStyle name="Cálculo 4" xfId="426" xr:uid="{00000000-0005-0000-0000-0000C4010000}"/>
    <cellStyle name="Cálculo 4 2" xfId="427" xr:uid="{00000000-0005-0000-0000-0000C5010000}"/>
    <cellStyle name="Cálculo 4 3" xfId="428" xr:uid="{00000000-0005-0000-0000-0000C6010000}"/>
    <cellStyle name="Cálculo 4 4" xfId="429" xr:uid="{00000000-0005-0000-0000-0000C7010000}"/>
    <cellStyle name="Cálculo 4 5" xfId="430" xr:uid="{00000000-0005-0000-0000-0000C8010000}"/>
    <cellStyle name="Cálculo 5" xfId="431" xr:uid="{00000000-0005-0000-0000-0000C9010000}"/>
    <cellStyle name="Cálculo 5 2" xfId="432" xr:uid="{00000000-0005-0000-0000-0000CA010000}"/>
    <cellStyle name="Cálculo 5 3" xfId="433" xr:uid="{00000000-0005-0000-0000-0000CB010000}"/>
    <cellStyle name="Cálculo 5 4" xfId="434" xr:uid="{00000000-0005-0000-0000-0000CC010000}"/>
    <cellStyle name="Cálculo 5 5" xfId="435" xr:uid="{00000000-0005-0000-0000-0000CD010000}"/>
    <cellStyle name="Cálculo 6" xfId="436" xr:uid="{00000000-0005-0000-0000-0000CE010000}"/>
    <cellStyle name="Cálculo 6 2" xfId="437" xr:uid="{00000000-0005-0000-0000-0000CF010000}"/>
    <cellStyle name="Cálculo 7" xfId="438" xr:uid="{00000000-0005-0000-0000-0000D0010000}"/>
    <cellStyle name="Cálculo 8" xfId="439" xr:uid="{00000000-0005-0000-0000-0000D1010000}"/>
    <cellStyle name="Cálculo 9" xfId="440" xr:uid="{00000000-0005-0000-0000-0000D2010000}"/>
    <cellStyle name="Celda de comprobación" xfId="493" builtinId="23" customBuiltin="1"/>
    <cellStyle name="Celda de comprobación 2" xfId="441" xr:uid="{00000000-0005-0000-0000-0000D4010000}"/>
    <cellStyle name="Celda de comprobación 2 2" xfId="442" xr:uid="{00000000-0005-0000-0000-0000D5010000}"/>
    <cellStyle name="Celda de comprobación 2 3" xfId="443" xr:uid="{00000000-0005-0000-0000-0000D6010000}"/>
    <cellStyle name="Celda de comprobación 2 4" xfId="444" xr:uid="{00000000-0005-0000-0000-0000D7010000}"/>
    <cellStyle name="Celda de comprobación 2 5" xfId="445" xr:uid="{00000000-0005-0000-0000-0000D8010000}"/>
    <cellStyle name="Celda de comprobación 2 6" xfId="446" xr:uid="{00000000-0005-0000-0000-0000D9010000}"/>
    <cellStyle name="Celda de comprobación 3" xfId="447" xr:uid="{00000000-0005-0000-0000-0000DA010000}"/>
    <cellStyle name="Celda de comprobación 3 2" xfId="448" xr:uid="{00000000-0005-0000-0000-0000DB010000}"/>
    <cellStyle name="Celda de comprobación 3 3" xfId="449" xr:uid="{00000000-0005-0000-0000-0000DC010000}"/>
    <cellStyle name="Celda de comprobación 3 4" xfId="450" xr:uid="{00000000-0005-0000-0000-0000DD010000}"/>
    <cellStyle name="Celda de comprobación 3 5" xfId="451" xr:uid="{00000000-0005-0000-0000-0000DE010000}"/>
    <cellStyle name="Celda de comprobación 4" xfId="452" xr:uid="{00000000-0005-0000-0000-0000DF010000}"/>
    <cellStyle name="Celda de comprobación 4 2" xfId="453" xr:uid="{00000000-0005-0000-0000-0000E0010000}"/>
    <cellStyle name="Celda de comprobación 4 3" xfId="454" xr:uid="{00000000-0005-0000-0000-0000E1010000}"/>
    <cellStyle name="Celda de comprobación 4 4" xfId="455" xr:uid="{00000000-0005-0000-0000-0000E2010000}"/>
    <cellStyle name="Celda de comprobación 4 5" xfId="456" xr:uid="{00000000-0005-0000-0000-0000E3010000}"/>
    <cellStyle name="Celda de comprobación 5" xfId="457" xr:uid="{00000000-0005-0000-0000-0000E4010000}"/>
    <cellStyle name="Celda de comprobación 5 2" xfId="458" xr:uid="{00000000-0005-0000-0000-0000E5010000}"/>
    <cellStyle name="Celda de comprobación 5 3" xfId="459" xr:uid="{00000000-0005-0000-0000-0000E6010000}"/>
    <cellStyle name="Celda de comprobación 5 4" xfId="460" xr:uid="{00000000-0005-0000-0000-0000E7010000}"/>
    <cellStyle name="Celda de comprobación 5 5" xfId="461" xr:uid="{00000000-0005-0000-0000-0000E8010000}"/>
    <cellStyle name="Celda de comprobación 6" xfId="462" xr:uid="{00000000-0005-0000-0000-0000E9010000}"/>
    <cellStyle name="Celda de comprobación 6 2" xfId="463" xr:uid="{00000000-0005-0000-0000-0000EA010000}"/>
    <cellStyle name="Celda de comprobación 7" xfId="464" xr:uid="{00000000-0005-0000-0000-0000EB010000}"/>
    <cellStyle name="Celda de comprobación 8" xfId="465" xr:uid="{00000000-0005-0000-0000-0000EC010000}"/>
    <cellStyle name="Celda de comprobación 9" xfId="466" xr:uid="{00000000-0005-0000-0000-0000ED010000}"/>
    <cellStyle name="Celda vinculada" xfId="788" builtinId="24" customBuiltin="1"/>
    <cellStyle name="Celda vinculada 2" xfId="467" xr:uid="{00000000-0005-0000-0000-0000EF010000}"/>
    <cellStyle name="Celda vinculada 2 2" xfId="468" xr:uid="{00000000-0005-0000-0000-0000F0010000}"/>
    <cellStyle name="Celda vinculada 2 3" xfId="469" xr:uid="{00000000-0005-0000-0000-0000F1010000}"/>
    <cellStyle name="Celda vinculada 2 4" xfId="470" xr:uid="{00000000-0005-0000-0000-0000F2010000}"/>
    <cellStyle name="Celda vinculada 2 5" xfId="471" xr:uid="{00000000-0005-0000-0000-0000F3010000}"/>
    <cellStyle name="Celda vinculada 2 6" xfId="472" xr:uid="{00000000-0005-0000-0000-0000F4010000}"/>
    <cellStyle name="Celda vinculada 3" xfId="473" xr:uid="{00000000-0005-0000-0000-0000F5010000}"/>
    <cellStyle name="Celda vinculada 3 2" xfId="474" xr:uid="{00000000-0005-0000-0000-0000F6010000}"/>
    <cellStyle name="Celda vinculada 3 3" xfId="475" xr:uid="{00000000-0005-0000-0000-0000F7010000}"/>
    <cellStyle name="Celda vinculada 3 4" xfId="476" xr:uid="{00000000-0005-0000-0000-0000F8010000}"/>
    <cellStyle name="Celda vinculada 3 5" xfId="477" xr:uid="{00000000-0005-0000-0000-0000F9010000}"/>
    <cellStyle name="Celda vinculada 4" xfId="478" xr:uid="{00000000-0005-0000-0000-0000FA010000}"/>
    <cellStyle name="Celda vinculada 4 2" xfId="479" xr:uid="{00000000-0005-0000-0000-0000FB010000}"/>
    <cellStyle name="Celda vinculada 4 3" xfId="480" xr:uid="{00000000-0005-0000-0000-0000FC010000}"/>
    <cellStyle name="Celda vinculada 4 4" xfId="481" xr:uid="{00000000-0005-0000-0000-0000FD010000}"/>
    <cellStyle name="Celda vinculada 4 5" xfId="482" xr:uid="{00000000-0005-0000-0000-0000FE010000}"/>
    <cellStyle name="Celda vinculada 5" xfId="483" xr:uid="{00000000-0005-0000-0000-0000FF010000}"/>
    <cellStyle name="Celda vinculada 5 2" xfId="484" xr:uid="{00000000-0005-0000-0000-000000020000}"/>
    <cellStyle name="Celda vinculada 5 3" xfId="485" xr:uid="{00000000-0005-0000-0000-000001020000}"/>
    <cellStyle name="Celda vinculada 5 4" xfId="486" xr:uid="{00000000-0005-0000-0000-000002020000}"/>
    <cellStyle name="Celda vinculada 5 5" xfId="487" xr:uid="{00000000-0005-0000-0000-000003020000}"/>
    <cellStyle name="Celda vinculada 6" xfId="488" xr:uid="{00000000-0005-0000-0000-000004020000}"/>
    <cellStyle name="Celda vinculada 6 2" xfId="489" xr:uid="{00000000-0005-0000-0000-000005020000}"/>
    <cellStyle name="Celda vinculada 7" xfId="490" xr:uid="{00000000-0005-0000-0000-000006020000}"/>
    <cellStyle name="Celda vinculada 8" xfId="491" xr:uid="{00000000-0005-0000-0000-000007020000}"/>
    <cellStyle name="Celda vinculada 9" xfId="492" xr:uid="{00000000-0005-0000-0000-000008020000}"/>
    <cellStyle name="Check Cell 2" xfId="494" xr:uid="{00000000-0005-0000-0000-00000A020000}"/>
    <cellStyle name="Check Cell 3" xfId="495" xr:uid="{00000000-0005-0000-0000-00000B020000}"/>
    <cellStyle name="Check Cell 4" xfId="496" xr:uid="{00000000-0005-0000-0000-00000C020000}"/>
    <cellStyle name="Check Cell 5" xfId="497" xr:uid="{00000000-0005-0000-0000-00000D020000}"/>
    <cellStyle name="Dane wej?ciowe" xfId="498" xr:uid="{00000000-0005-0000-0000-00000E020000}"/>
    <cellStyle name="Dane wejściowe" xfId="499" xr:uid="{00000000-0005-0000-0000-00000F020000}"/>
    <cellStyle name="Dane wyj?ciowe" xfId="500" xr:uid="{00000000-0005-0000-0000-000010020000}"/>
    <cellStyle name="Dane wyjściowe" xfId="501" xr:uid="{00000000-0005-0000-0000-000011020000}"/>
    <cellStyle name="Dobre" xfId="502" xr:uid="{00000000-0005-0000-0000-000012020000}"/>
    <cellStyle name="Emphasis 1" xfId="503" xr:uid="{00000000-0005-0000-0000-000013020000}"/>
    <cellStyle name="Emphasis 1 10" xfId="504" xr:uid="{00000000-0005-0000-0000-000014020000}"/>
    <cellStyle name="Emphasis 1 11" xfId="505" xr:uid="{00000000-0005-0000-0000-000015020000}"/>
    <cellStyle name="Emphasis 1 2" xfId="506" xr:uid="{00000000-0005-0000-0000-000016020000}"/>
    <cellStyle name="Emphasis 1 2 2" xfId="507" xr:uid="{00000000-0005-0000-0000-000017020000}"/>
    <cellStyle name="Emphasis 1 2 2 2" xfId="508" xr:uid="{00000000-0005-0000-0000-000018020000}"/>
    <cellStyle name="Emphasis 1 3" xfId="509" xr:uid="{00000000-0005-0000-0000-000019020000}"/>
    <cellStyle name="Emphasis 1 4" xfId="510" xr:uid="{00000000-0005-0000-0000-00001A020000}"/>
    <cellStyle name="Emphasis 1 5" xfId="511" xr:uid="{00000000-0005-0000-0000-00001B020000}"/>
    <cellStyle name="Emphasis 1 6" xfId="512" xr:uid="{00000000-0005-0000-0000-00001C020000}"/>
    <cellStyle name="Emphasis 1 7" xfId="513" xr:uid="{00000000-0005-0000-0000-00001D020000}"/>
    <cellStyle name="Emphasis 1 8" xfId="514" xr:uid="{00000000-0005-0000-0000-00001E020000}"/>
    <cellStyle name="Emphasis 1 9" xfId="515" xr:uid="{00000000-0005-0000-0000-00001F020000}"/>
    <cellStyle name="Emphasis 2" xfId="516" xr:uid="{00000000-0005-0000-0000-000020020000}"/>
    <cellStyle name="Emphasis 2 10" xfId="517" xr:uid="{00000000-0005-0000-0000-000021020000}"/>
    <cellStyle name="Emphasis 2 11" xfId="518" xr:uid="{00000000-0005-0000-0000-000022020000}"/>
    <cellStyle name="Emphasis 2 2" xfId="519" xr:uid="{00000000-0005-0000-0000-000023020000}"/>
    <cellStyle name="Emphasis 2 2 2" xfId="520" xr:uid="{00000000-0005-0000-0000-000024020000}"/>
    <cellStyle name="Emphasis 2 2 2 2" xfId="521" xr:uid="{00000000-0005-0000-0000-000025020000}"/>
    <cellStyle name="Emphasis 2 3" xfId="522" xr:uid="{00000000-0005-0000-0000-000026020000}"/>
    <cellStyle name="Emphasis 2 4" xfId="523" xr:uid="{00000000-0005-0000-0000-000027020000}"/>
    <cellStyle name="Emphasis 2 5" xfId="524" xr:uid="{00000000-0005-0000-0000-000028020000}"/>
    <cellStyle name="Emphasis 2 6" xfId="525" xr:uid="{00000000-0005-0000-0000-000029020000}"/>
    <cellStyle name="Emphasis 2 7" xfId="526" xr:uid="{00000000-0005-0000-0000-00002A020000}"/>
    <cellStyle name="Emphasis 2 8" xfId="527" xr:uid="{00000000-0005-0000-0000-00002B020000}"/>
    <cellStyle name="Emphasis 2 9" xfId="528" xr:uid="{00000000-0005-0000-0000-00002C020000}"/>
    <cellStyle name="Emphasis 3" xfId="529" xr:uid="{00000000-0005-0000-0000-00002D020000}"/>
    <cellStyle name="Encabezado 1" xfId="747" builtinId="16" customBuiltin="1"/>
    <cellStyle name="Encabezado 4" xfId="748" builtinId="19" customBuiltin="1"/>
    <cellStyle name="Encabezado 4 2" xfId="530" xr:uid="{00000000-0005-0000-0000-000030020000}"/>
    <cellStyle name="Encabezado 4 2 2" xfId="531" xr:uid="{00000000-0005-0000-0000-000031020000}"/>
    <cellStyle name="Encabezado 4 2 3" xfId="532" xr:uid="{00000000-0005-0000-0000-000032020000}"/>
    <cellStyle name="Encabezado 4 2 4" xfId="533" xr:uid="{00000000-0005-0000-0000-000033020000}"/>
    <cellStyle name="Encabezado 4 2 5" xfId="534" xr:uid="{00000000-0005-0000-0000-000034020000}"/>
    <cellStyle name="Encabezado 4 2 6" xfId="535" xr:uid="{00000000-0005-0000-0000-000035020000}"/>
    <cellStyle name="Encabezado 4 3" xfId="536" xr:uid="{00000000-0005-0000-0000-000036020000}"/>
    <cellStyle name="Encabezado 4 3 2" xfId="537" xr:uid="{00000000-0005-0000-0000-000037020000}"/>
    <cellStyle name="Encabezado 4 3 3" xfId="538" xr:uid="{00000000-0005-0000-0000-000038020000}"/>
    <cellStyle name="Encabezado 4 3 4" xfId="539" xr:uid="{00000000-0005-0000-0000-000039020000}"/>
    <cellStyle name="Encabezado 4 3 5" xfId="540" xr:uid="{00000000-0005-0000-0000-00003A020000}"/>
    <cellStyle name="Encabezado 4 4" xfId="541" xr:uid="{00000000-0005-0000-0000-00003B020000}"/>
    <cellStyle name="Encabezado 4 4 2" xfId="542" xr:uid="{00000000-0005-0000-0000-00003C020000}"/>
    <cellStyle name="Encabezado 4 4 3" xfId="543" xr:uid="{00000000-0005-0000-0000-00003D020000}"/>
    <cellStyle name="Encabezado 4 4 4" xfId="544" xr:uid="{00000000-0005-0000-0000-00003E020000}"/>
    <cellStyle name="Encabezado 4 4 5" xfId="545" xr:uid="{00000000-0005-0000-0000-00003F020000}"/>
    <cellStyle name="Encabezado 4 5" xfId="546" xr:uid="{00000000-0005-0000-0000-000040020000}"/>
    <cellStyle name="Encabezado 4 5 2" xfId="547" xr:uid="{00000000-0005-0000-0000-000041020000}"/>
    <cellStyle name="Encabezado 4 5 3" xfId="548" xr:uid="{00000000-0005-0000-0000-000042020000}"/>
    <cellStyle name="Encabezado 4 5 4" xfId="549" xr:uid="{00000000-0005-0000-0000-000043020000}"/>
    <cellStyle name="Encabezado 4 5 5" xfId="550" xr:uid="{00000000-0005-0000-0000-000044020000}"/>
    <cellStyle name="Encabezado 4 6" xfId="551" xr:uid="{00000000-0005-0000-0000-000045020000}"/>
    <cellStyle name="Encabezado 4 7" xfId="552" xr:uid="{00000000-0005-0000-0000-000046020000}"/>
    <cellStyle name="Encabezado 4 8" xfId="553" xr:uid="{00000000-0005-0000-0000-000047020000}"/>
    <cellStyle name="Encabezado 4 9" xfId="554" xr:uid="{00000000-0005-0000-0000-000048020000}"/>
    <cellStyle name="Énfasis1 2" xfId="556" xr:uid="{00000000-0005-0000-0000-00004A020000}"/>
    <cellStyle name="Énfasis1 2 2" xfId="557" xr:uid="{00000000-0005-0000-0000-00004B020000}"/>
    <cellStyle name="Énfasis1 2 3" xfId="558" xr:uid="{00000000-0005-0000-0000-00004C020000}"/>
    <cellStyle name="Énfasis1 2 4" xfId="559" xr:uid="{00000000-0005-0000-0000-00004D020000}"/>
    <cellStyle name="Énfasis1 2 5" xfId="560" xr:uid="{00000000-0005-0000-0000-00004E020000}"/>
    <cellStyle name="Énfasis1 2 6" xfId="561" xr:uid="{00000000-0005-0000-0000-00004F020000}"/>
    <cellStyle name="Énfasis1 3" xfId="562" xr:uid="{00000000-0005-0000-0000-000050020000}"/>
    <cellStyle name="Énfasis1 3 2" xfId="563" xr:uid="{00000000-0005-0000-0000-000051020000}"/>
    <cellStyle name="Énfasis1 3 3" xfId="564" xr:uid="{00000000-0005-0000-0000-000052020000}"/>
    <cellStyle name="Énfasis1 3 4" xfId="565" xr:uid="{00000000-0005-0000-0000-000053020000}"/>
    <cellStyle name="Énfasis1 3 5" xfId="566" xr:uid="{00000000-0005-0000-0000-000054020000}"/>
    <cellStyle name="Énfasis1 4" xfId="567" xr:uid="{00000000-0005-0000-0000-000055020000}"/>
    <cellStyle name="Énfasis1 4 2" xfId="568" xr:uid="{00000000-0005-0000-0000-000056020000}"/>
    <cellStyle name="Énfasis1 4 3" xfId="569" xr:uid="{00000000-0005-0000-0000-000057020000}"/>
    <cellStyle name="Énfasis1 4 4" xfId="570" xr:uid="{00000000-0005-0000-0000-000058020000}"/>
    <cellStyle name="Énfasis1 4 5" xfId="571" xr:uid="{00000000-0005-0000-0000-000059020000}"/>
    <cellStyle name="Énfasis1 5" xfId="572" xr:uid="{00000000-0005-0000-0000-00005A020000}"/>
    <cellStyle name="Énfasis1 5 2" xfId="573" xr:uid="{00000000-0005-0000-0000-00005B020000}"/>
    <cellStyle name="Énfasis1 5 3" xfId="574" xr:uid="{00000000-0005-0000-0000-00005C020000}"/>
    <cellStyle name="Énfasis1 5 4" xfId="575" xr:uid="{00000000-0005-0000-0000-00005D020000}"/>
    <cellStyle name="Énfasis1 5 5" xfId="576" xr:uid="{00000000-0005-0000-0000-00005E020000}"/>
    <cellStyle name="Énfasis1 6" xfId="577" xr:uid="{00000000-0005-0000-0000-00005F020000}"/>
    <cellStyle name="Énfasis1 7" xfId="578" xr:uid="{00000000-0005-0000-0000-000060020000}"/>
    <cellStyle name="Énfasis1 8" xfId="579" xr:uid="{00000000-0005-0000-0000-000061020000}"/>
    <cellStyle name="Énfasis1 9" xfId="580" xr:uid="{00000000-0005-0000-0000-000062020000}"/>
    <cellStyle name="Énfasis2 2" xfId="582" xr:uid="{00000000-0005-0000-0000-000064020000}"/>
    <cellStyle name="Énfasis2 2 2" xfId="583" xr:uid="{00000000-0005-0000-0000-000065020000}"/>
    <cellStyle name="Énfasis2 2 3" xfId="584" xr:uid="{00000000-0005-0000-0000-000066020000}"/>
    <cellStyle name="Énfasis2 2 4" xfId="585" xr:uid="{00000000-0005-0000-0000-000067020000}"/>
    <cellStyle name="Énfasis2 2 5" xfId="586" xr:uid="{00000000-0005-0000-0000-000068020000}"/>
    <cellStyle name="Énfasis2 2 6" xfId="587" xr:uid="{00000000-0005-0000-0000-000069020000}"/>
    <cellStyle name="Énfasis2 3" xfId="588" xr:uid="{00000000-0005-0000-0000-00006A020000}"/>
    <cellStyle name="Énfasis2 3 2" xfId="589" xr:uid="{00000000-0005-0000-0000-00006B020000}"/>
    <cellStyle name="Énfasis2 3 3" xfId="590" xr:uid="{00000000-0005-0000-0000-00006C020000}"/>
    <cellStyle name="Énfasis2 3 4" xfId="591" xr:uid="{00000000-0005-0000-0000-00006D020000}"/>
    <cellStyle name="Énfasis2 3 5" xfId="592" xr:uid="{00000000-0005-0000-0000-00006E020000}"/>
    <cellStyle name="Énfasis2 4" xfId="593" xr:uid="{00000000-0005-0000-0000-00006F020000}"/>
    <cellStyle name="Énfasis2 4 2" xfId="594" xr:uid="{00000000-0005-0000-0000-000070020000}"/>
    <cellStyle name="Énfasis2 4 3" xfId="595" xr:uid="{00000000-0005-0000-0000-000071020000}"/>
    <cellStyle name="Énfasis2 4 4" xfId="596" xr:uid="{00000000-0005-0000-0000-000072020000}"/>
    <cellStyle name="Énfasis2 4 5" xfId="597" xr:uid="{00000000-0005-0000-0000-000073020000}"/>
    <cellStyle name="Énfasis2 5" xfId="598" xr:uid="{00000000-0005-0000-0000-000074020000}"/>
    <cellStyle name="Énfasis2 5 2" xfId="599" xr:uid="{00000000-0005-0000-0000-000075020000}"/>
    <cellStyle name="Énfasis2 5 3" xfId="600" xr:uid="{00000000-0005-0000-0000-000076020000}"/>
    <cellStyle name="Énfasis2 5 4" xfId="601" xr:uid="{00000000-0005-0000-0000-000077020000}"/>
    <cellStyle name="Énfasis2 5 5" xfId="602" xr:uid="{00000000-0005-0000-0000-000078020000}"/>
    <cellStyle name="Énfasis2 6" xfId="603" xr:uid="{00000000-0005-0000-0000-000079020000}"/>
    <cellStyle name="Énfasis2 7" xfId="604" xr:uid="{00000000-0005-0000-0000-00007A020000}"/>
    <cellStyle name="Énfasis2 8" xfId="605" xr:uid="{00000000-0005-0000-0000-00007B020000}"/>
    <cellStyle name="Énfasis2 9" xfId="606" xr:uid="{00000000-0005-0000-0000-00007C020000}"/>
    <cellStyle name="Énfasis3 2" xfId="608" xr:uid="{00000000-0005-0000-0000-00007E020000}"/>
    <cellStyle name="Énfasis3 2 2" xfId="609" xr:uid="{00000000-0005-0000-0000-00007F020000}"/>
    <cellStyle name="Énfasis3 2 3" xfId="610" xr:uid="{00000000-0005-0000-0000-000080020000}"/>
    <cellStyle name="Énfasis3 2 4" xfId="611" xr:uid="{00000000-0005-0000-0000-000081020000}"/>
    <cellStyle name="Énfasis3 2 5" xfId="612" xr:uid="{00000000-0005-0000-0000-000082020000}"/>
    <cellStyle name="Énfasis3 2 6" xfId="613" xr:uid="{00000000-0005-0000-0000-000083020000}"/>
    <cellStyle name="Énfasis3 3" xfId="614" xr:uid="{00000000-0005-0000-0000-000084020000}"/>
    <cellStyle name="Énfasis3 3 2" xfId="615" xr:uid="{00000000-0005-0000-0000-000085020000}"/>
    <cellStyle name="Énfasis3 3 3" xfId="616" xr:uid="{00000000-0005-0000-0000-000086020000}"/>
    <cellStyle name="Énfasis3 3 4" xfId="617" xr:uid="{00000000-0005-0000-0000-000087020000}"/>
    <cellStyle name="Énfasis3 3 5" xfId="618" xr:uid="{00000000-0005-0000-0000-000088020000}"/>
    <cellStyle name="Énfasis3 4" xfId="619" xr:uid="{00000000-0005-0000-0000-000089020000}"/>
    <cellStyle name="Énfasis3 4 2" xfId="620" xr:uid="{00000000-0005-0000-0000-00008A020000}"/>
    <cellStyle name="Énfasis3 4 3" xfId="621" xr:uid="{00000000-0005-0000-0000-00008B020000}"/>
    <cellStyle name="Énfasis3 4 4" xfId="622" xr:uid="{00000000-0005-0000-0000-00008C020000}"/>
    <cellStyle name="Énfasis3 4 5" xfId="623" xr:uid="{00000000-0005-0000-0000-00008D020000}"/>
    <cellStyle name="Énfasis3 5" xfId="624" xr:uid="{00000000-0005-0000-0000-00008E020000}"/>
    <cellStyle name="Énfasis3 5 2" xfId="625" xr:uid="{00000000-0005-0000-0000-00008F020000}"/>
    <cellStyle name="Énfasis3 5 3" xfId="626" xr:uid="{00000000-0005-0000-0000-000090020000}"/>
    <cellStyle name="Énfasis3 5 4" xfId="627" xr:uid="{00000000-0005-0000-0000-000091020000}"/>
    <cellStyle name="Énfasis3 5 5" xfId="628" xr:uid="{00000000-0005-0000-0000-000092020000}"/>
    <cellStyle name="Énfasis3 6" xfId="629" xr:uid="{00000000-0005-0000-0000-000093020000}"/>
    <cellStyle name="Énfasis3 6 2" xfId="630" xr:uid="{00000000-0005-0000-0000-000094020000}"/>
    <cellStyle name="Énfasis3 7" xfId="631" xr:uid="{00000000-0005-0000-0000-000095020000}"/>
    <cellStyle name="Énfasis3 8" xfId="632" xr:uid="{00000000-0005-0000-0000-000096020000}"/>
    <cellStyle name="Énfasis3 9" xfId="633" xr:uid="{00000000-0005-0000-0000-000097020000}"/>
    <cellStyle name="Énfasis4 2" xfId="635" xr:uid="{00000000-0005-0000-0000-000099020000}"/>
    <cellStyle name="Énfasis4 2 2" xfId="636" xr:uid="{00000000-0005-0000-0000-00009A020000}"/>
    <cellStyle name="Énfasis4 2 3" xfId="637" xr:uid="{00000000-0005-0000-0000-00009B020000}"/>
    <cellStyle name="Énfasis4 2 4" xfId="638" xr:uid="{00000000-0005-0000-0000-00009C020000}"/>
    <cellStyle name="Énfasis4 2 5" xfId="639" xr:uid="{00000000-0005-0000-0000-00009D020000}"/>
    <cellStyle name="Énfasis4 2 6" xfId="640" xr:uid="{00000000-0005-0000-0000-00009E020000}"/>
    <cellStyle name="Énfasis4 3" xfId="641" xr:uid="{00000000-0005-0000-0000-00009F020000}"/>
    <cellStyle name="Énfasis4 3 2" xfId="642" xr:uid="{00000000-0005-0000-0000-0000A0020000}"/>
    <cellStyle name="Énfasis4 3 3" xfId="643" xr:uid="{00000000-0005-0000-0000-0000A1020000}"/>
    <cellStyle name="Énfasis4 3 4" xfId="644" xr:uid="{00000000-0005-0000-0000-0000A2020000}"/>
    <cellStyle name="Énfasis4 3 5" xfId="645" xr:uid="{00000000-0005-0000-0000-0000A3020000}"/>
    <cellStyle name="Énfasis4 4" xfId="646" xr:uid="{00000000-0005-0000-0000-0000A4020000}"/>
    <cellStyle name="Énfasis4 4 2" xfId="647" xr:uid="{00000000-0005-0000-0000-0000A5020000}"/>
    <cellStyle name="Énfasis4 4 3" xfId="648" xr:uid="{00000000-0005-0000-0000-0000A6020000}"/>
    <cellStyle name="Énfasis4 4 4" xfId="649" xr:uid="{00000000-0005-0000-0000-0000A7020000}"/>
    <cellStyle name="Énfasis4 4 5" xfId="650" xr:uid="{00000000-0005-0000-0000-0000A8020000}"/>
    <cellStyle name="Énfasis4 5" xfId="651" xr:uid="{00000000-0005-0000-0000-0000A9020000}"/>
    <cellStyle name="Énfasis4 5 2" xfId="652" xr:uid="{00000000-0005-0000-0000-0000AA020000}"/>
    <cellStyle name="Énfasis4 5 3" xfId="653" xr:uid="{00000000-0005-0000-0000-0000AB020000}"/>
    <cellStyle name="Énfasis4 5 4" xfId="654" xr:uid="{00000000-0005-0000-0000-0000AC020000}"/>
    <cellStyle name="Énfasis4 5 5" xfId="655" xr:uid="{00000000-0005-0000-0000-0000AD020000}"/>
    <cellStyle name="Énfasis4 6" xfId="656" xr:uid="{00000000-0005-0000-0000-0000AE020000}"/>
    <cellStyle name="Énfasis4 6 2" xfId="657" xr:uid="{00000000-0005-0000-0000-0000AF020000}"/>
    <cellStyle name="Énfasis4 7" xfId="658" xr:uid="{00000000-0005-0000-0000-0000B0020000}"/>
    <cellStyle name="Énfasis4 8" xfId="659" xr:uid="{00000000-0005-0000-0000-0000B1020000}"/>
    <cellStyle name="Énfasis4 9" xfId="660" xr:uid="{00000000-0005-0000-0000-0000B2020000}"/>
    <cellStyle name="Énfasis5 2" xfId="662" xr:uid="{00000000-0005-0000-0000-0000B4020000}"/>
    <cellStyle name="Énfasis5 2 2" xfId="663" xr:uid="{00000000-0005-0000-0000-0000B5020000}"/>
    <cellStyle name="Énfasis5 2 3" xfId="664" xr:uid="{00000000-0005-0000-0000-0000B6020000}"/>
    <cellStyle name="Énfasis5 2 4" xfId="665" xr:uid="{00000000-0005-0000-0000-0000B7020000}"/>
    <cellStyle name="Énfasis5 2 5" xfId="666" xr:uid="{00000000-0005-0000-0000-0000B8020000}"/>
    <cellStyle name="Énfasis5 2 6" xfId="667" xr:uid="{00000000-0005-0000-0000-0000B9020000}"/>
    <cellStyle name="Énfasis5 3" xfId="668" xr:uid="{00000000-0005-0000-0000-0000BA020000}"/>
    <cellStyle name="Énfasis5 3 2" xfId="669" xr:uid="{00000000-0005-0000-0000-0000BB020000}"/>
    <cellStyle name="Énfasis5 3 3" xfId="670" xr:uid="{00000000-0005-0000-0000-0000BC020000}"/>
    <cellStyle name="Énfasis5 3 4" xfId="671" xr:uid="{00000000-0005-0000-0000-0000BD020000}"/>
    <cellStyle name="Énfasis5 3 5" xfId="672" xr:uid="{00000000-0005-0000-0000-0000BE020000}"/>
    <cellStyle name="Énfasis5 4" xfId="673" xr:uid="{00000000-0005-0000-0000-0000BF020000}"/>
    <cellStyle name="Énfasis5 4 2" xfId="674" xr:uid="{00000000-0005-0000-0000-0000C0020000}"/>
    <cellStyle name="Énfasis5 4 3" xfId="675" xr:uid="{00000000-0005-0000-0000-0000C1020000}"/>
    <cellStyle name="Énfasis5 4 4" xfId="676" xr:uid="{00000000-0005-0000-0000-0000C2020000}"/>
    <cellStyle name="Énfasis5 4 5" xfId="677" xr:uid="{00000000-0005-0000-0000-0000C3020000}"/>
    <cellStyle name="Énfasis5 5" xfId="678" xr:uid="{00000000-0005-0000-0000-0000C4020000}"/>
    <cellStyle name="Énfasis5 5 2" xfId="679" xr:uid="{00000000-0005-0000-0000-0000C5020000}"/>
    <cellStyle name="Énfasis5 5 3" xfId="680" xr:uid="{00000000-0005-0000-0000-0000C6020000}"/>
    <cellStyle name="Énfasis5 5 4" xfId="681" xr:uid="{00000000-0005-0000-0000-0000C7020000}"/>
    <cellStyle name="Énfasis5 5 5" xfId="682" xr:uid="{00000000-0005-0000-0000-0000C8020000}"/>
    <cellStyle name="Énfasis5 6" xfId="683" xr:uid="{00000000-0005-0000-0000-0000C9020000}"/>
    <cellStyle name="Énfasis5 6 2" xfId="684" xr:uid="{00000000-0005-0000-0000-0000CA020000}"/>
    <cellStyle name="Énfasis5 7" xfId="685" xr:uid="{00000000-0005-0000-0000-0000CB020000}"/>
    <cellStyle name="Énfasis5 8" xfId="686" xr:uid="{00000000-0005-0000-0000-0000CC020000}"/>
    <cellStyle name="Énfasis5 9" xfId="687" xr:uid="{00000000-0005-0000-0000-0000CD020000}"/>
    <cellStyle name="Énfasis6 2" xfId="689" xr:uid="{00000000-0005-0000-0000-0000CF020000}"/>
    <cellStyle name="Énfasis6 2 2" xfId="690" xr:uid="{00000000-0005-0000-0000-0000D0020000}"/>
    <cellStyle name="Énfasis6 2 3" xfId="691" xr:uid="{00000000-0005-0000-0000-0000D1020000}"/>
    <cellStyle name="Énfasis6 2 4" xfId="692" xr:uid="{00000000-0005-0000-0000-0000D2020000}"/>
    <cellStyle name="Énfasis6 2 5" xfId="693" xr:uid="{00000000-0005-0000-0000-0000D3020000}"/>
    <cellStyle name="Énfasis6 2 6" xfId="694" xr:uid="{00000000-0005-0000-0000-0000D4020000}"/>
    <cellStyle name="Énfasis6 3" xfId="695" xr:uid="{00000000-0005-0000-0000-0000D5020000}"/>
    <cellStyle name="Énfasis6 3 2" xfId="696" xr:uid="{00000000-0005-0000-0000-0000D6020000}"/>
    <cellStyle name="Énfasis6 3 3" xfId="697" xr:uid="{00000000-0005-0000-0000-0000D7020000}"/>
    <cellStyle name="Énfasis6 3 4" xfId="698" xr:uid="{00000000-0005-0000-0000-0000D8020000}"/>
    <cellStyle name="Énfasis6 3 5" xfId="699" xr:uid="{00000000-0005-0000-0000-0000D9020000}"/>
    <cellStyle name="Énfasis6 4" xfId="700" xr:uid="{00000000-0005-0000-0000-0000DA020000}"/>
    <cellStyle name="Énfasis6 4 2" xfId="701" xr:uid="{00000000-0005-0000-0000-0000DB020000}"/>
    <cellStyle name="Énfasis6 4 3" xfId="702" xr:uid="{00000000-0005-0000-0000-0000DC020000}"/>
    <cellStyle name="Énfasis6 4 4" xfId="703" xr:uid="{00000000-0005-0000-0000-0000DD020000}"/>
    <cellStyle name="Énfasis6 4 5" xfId="704" xr:uid="{00000000-0005-0000-0000-0000DE020000}"/>
    <cellStyle name="Énfasis6 5" xfId="705" xr:uid="{00000000-0005-0000-0000-0000DF020000}"/>
    <cellStyle name="Énfasis6 5 2" xfId="706" xr:uid="{00000000-0005-0000-0000-0000E0020000}"/>
    <cellStyle name="Énfasis6 5 3" xfId="707" xr:uid="{00000000-0005-0000-0000-0000E1020000}"/>
    <cellStyle name="Énfasis6 5 4" xfId="708" xr:uid="{00000000-0005-0000-0000-0000E2020000}"/>
    <cellStyle name="Énfasis6 5 5" xfId="709" xr:uid="{00000000-0005-0000-0000-0000E3020000}"/>
    <cellStyle name="Énfasis6 6" xfId="710" xr:uid="{00000000-0005-0000-0000-0000E4020000}"/>
    <cellStyle name="Énfasis6 6 2" xfId="711" xr:uid="{00000000-0005-0000-0000-0000E5020000}"/>
    <cellStyle name="Énfasis6 7" xfId="712" xr:uid="{00000000-0005-0000-0000-0000E6020000}"/>
    <cellStyle name="Énfasis6 8" xfId="713" xr:uid="{00000000-0005-0000-0000-0000E7020000}"/>
    <cellStyle name="Énfasis6 9" xfId="714" xr:uid="{00000000-0005-0000-0000-0000E8020000}"/>
    <cellStyle name="Entrada" xfId="780" builtinId="20" customBuiltin="1"/>
    <cellStyle name="Entrada 2" xfId="715" xr:uid="{00000000-0005-0000-0000-0000EA020000}"/>
    <cellStyle name="Entrada 2 2" xfId="716" xr:uid="{00000000-0005-0000-0000-0000EB020000}"/>
    <cellStyle name="Entrada 2 3" xfId="717" xr:uid="{00000000-0005-0000-0000-0000EC020000}"/>
    <cellStyle name="Entrada 2 4" xfId="718" xr:uid="{00000000-0005-0000-0000-0000ED020000}"/>
    <cellStyle name="Entrada 2 5" xfId="719" xr:uid="{00000000-0005-0000-0000-0000EE020000}"/>
    <cellStyle name="Entrada 2 6" xfId="720" xr:uid="{00000000-0005-0000-0000-0000EF020000}"/>
    <cellStyle name="Entrada 3" xfId="721" xr:uid="{00000000-0005-0000-0000-0000F0020000}"/>
    <cellStyle name="Entrada 3 2" xfId="722" xr:uid="{00000000-0005-0000-0000-0000F1020000}"/>
    <cellStyle name="Entrada 3 3" xfId="723" xr:uid="{00000000-0005-0000-0000-0000F2020000}"/>
    <cellStyle name="Entrada 3 4" xfId="724" xr:uid="{00000000-0005-0000-0000-0000F3020000}"/>
    <cellStyle name="Entrada 3 5" xfId="725" xr:uid="{00000000-0005-0000-0000-0000F4020000}"/>
    <cellStyle name="Entrada 4" xfId="726" xr:uid="{00000000-0005-0000-0000-0000F5020000}"/>
    <cellStyle name="Entrada 4 2" xfId="727" xr:uid="{00000000-0005-0000-0000-0000F6020000}"/>
    <cellStyle name="Entrada 4 3" xfId="728" xr:uid="{00000000-0005-0000-0000-0000F7020000}"/>
    <cellStyle name="Entrada 4 4" xfId="729" xr:uid="{00000000-0005-0000-0000-0000F8020000}"/>
    <cellStyle name="Entrada 4 5" xfId="730" xr:uid="{00000000-0005-0000-0000-0000F9020000}"/>
    <cellStyle name="Entrada 5" xfId="731" xr:uid="{00000000-0005-0000-0000-0000FA020000}"/>
    <cellStyle name="Entrada 5 2" xfId="732" xr:uid="{00000000-0005-0000-0000-0000FB020000}"/>
    <cellStyle name="Entrada 5 3" xfId="733" xr:uid="{00000000-0005-0000-0000-0000FC020000}"/>
    <cellStyle name="Entrada 5 4" xfId="734" xr:uid="{00000000-0005-0000-0000-0000FD020000}"/>
    <cellStyle name="Entrada 5 5" xfId="735" xr:uid="{00000000-0005-0000-0000-0000FE020000}"/>
    <cellStyle name="Entrada 6" xfId="736" xr:uid="{00000000-0005-0000-0000-0000FF020000}"/>
    <cellStyle name="Entrada 6 2" xfId="737" xr:uid="{00000000-0005-0000-0000-000000030000}"/>
    <cellStyle name="Entrada 7" xfId="738" xr:uid="{00000000-0005-0000-0000-000001030000}"/>
    <cellStyle name="Entrada 8" xfId="739" xr:uid="{00000000-0005-0000-0000-000002030000}"/>
    <cellStyle name="Entrada 9" xfId="740" xr:uid="{00000000-0005-0000-0000-000003030000}"/>
    <cellStyle name="Euro" xfId="741" xr:uid="{00000000-0005-0000-0000-000004030000}"/>
    <cellStyle name="Explanatory Text" xfId="1539" xr:uid="{00000000-0005-0000-0000-000005030000}"/>
    <cellStyle name="Good 2" xfId="743" xr:uid="{00000000-0005-0000-0000-000007030000}"/>
    <cellStyle name="Good 3" xfId="744" xr:uid="{00000000-0005-0000-0000-000008030000}"/>
    <cellStyle name="Good 4" xfId="745" xr:uid="{00000000-0005-0000-0000-000009030000}"/>
    <cellStyle name="Good 5" xfId="746" xr:uid="{00000000-0005-0000-0000-00000A030000}"/>
    <cellStyle name="Heading 2" xfId="1567" xr:uid="{00000000-0005-0000-0000-00000C030000}"/>
    <cellStyle name="Heading 3" xfId="1594" xr:uid="{00000000-0005-0000-0000-00000D030000}"/>
    <cellStyle name="Heading 4 2" xfId="749" xr:uid="{00000000-0005-0000-0000-00000F030000}"/>
    <cellStyle name="Heading 4 3" xfId="750" xr:uid="{00000000-0005-0000-0000-000010030000}"/>
    <cellStyle name="Heading 4 4" xfId="751" xr:uid="{00000000-0005-0000-0000-000011030000}"/>
    <cellStyle name="Heading 4 5" xfId="752" xr:uid="{00000000-0005-0000-0000-000012030000}"/>
    <cellStyle name="Hipervínculo" xfId="1664" builtinId="8"/>
    <cellStyle name="Incorrecto 2" xfId="754" xr:uid="{00000000-0005-0000-0000-000015030000}"/>
    <cellStyle name="Incorrecto 2 2" xfId="755" xr:uid="{00000000-0005-0000-0000-000016030000}"/>
    <cellStyle name="Incorrecto 2 3" xfId="756" xr:uid="{00000000-0005-0000-0000-000017030000}"/>
    <cellStyle name="Incorrecto 2 4" xfId="757" xr:uid="{00000000-0005-0000-0000-000018030000}"/>
    <cellStyle name="Incorrecto 2 5" xfId="758" xr:uid="{00000000-0005-0000-0000-000019030000}"/>
    <cellStyle name="Incorrecto 2 6" xfId="759" xr:uid="{00000000-0005-0000-0000-00001A030000}"/>
    <cellStyle name="Incorrecto 3" xfId="760" xr:uid="{00000000-0005-0000-0000-00001B030000}"/>
    <cellStyle name="Incorrecto 3 2" xfId="761" xr:uid="{00000000-0005-0000-0000-00001C030000}"/>
    <cellStyle name="Incorrecto 3 3" xfId="762" xr:uid="{00000000-0005-0000-0000-00001D030000}"/>
    <cellStyle name="Incorrecto 3 4" xfId="763" xr:uid="{00000000-0005-0000-0000-00001E030000}"/>
    <cellStyle name="Incorrecto 3 5" xfId="764" xr:uid="{00000000-0005-0000-0000-00001F030000}"/>
    <cellStyle name="Incorrecto 4" xfId="765" xr:uid="{00000000-0005-0000-0000-000020030000}"/>
    <cellStyle name="Incorrecto 4 2" xfId="766" xr:uid="{00000000-0005-0000-0000-000021030000}"/>
    <cellStyle name="Incorrecto 4 3" xfId="767" xr:uid="{00000000-0005-0000-0000-000022030000}"/>
    <cellStyle name="Incorrecto 4 4" xfId="768" xr:uid="{00000000-0005-0000-0000-000023030000}"/>
    <cellStyle name="Incorrecto 4 5" xfId="769" xr:uid="{00000000-0005-0000-0000-000024030000}"/>
    <cellStyle name="Incorrecto 5" xfId="770" xr:uid="{00000000-0005-0000-0000-000025030000}"/>
    <cellStyle name="Incorrecto 5 2" xfId="771" xr:uid="{00000000-0005-0000-0000-000026030000}"/>
    <cellStyle name="Incorrecto 5 3" xfId="772" xr:uid="{00000000-0005-0000-0000-000027030000}"/>
    <cellStyle name="Incorrecto 5 4" xfId="773" xr:uid="{00000000-0005-0000-0000-000028030000}"/>
    <cellStyle name="Incorrecto 5 5" xfId="774" xr:uid="{00000000-0005-0000-0000-000029030000}"/>
    <cellStyle name="Incorrecto 6" xfId="775" xr:uid="{00000000-0005-0000-0000-00002A030000}"/>
    <cellStyle name="Incorrecto 6 2" xfId="776" xr:uid="{00000000-0005-0000-0000-00002B030000}"/>
    <cellStyle name="Incorrecto 7" xfId="777" xr:uid="{00000000-0005-0000-0000-00002C030000}"/>
    <cellStyle name="Incorrecto 8" xfId="778" xr:uid="{00000000-0005-0000-0000-00002D030000}"/>
    <cellStyle name="Incorrecto 9" xfId="779" xr:uid="{00000000-0005-0000-0000-00002E030000}"/>
    <cellStyle name="Input 2" xfId="781" xr:uid="{00000000-0005-0000-0000-000030030000}"/>
    <cellStyle name="Input 3" xfId="782" xr:uid="{00000000-0005-0000-0000-000031030000}"/>
    <cellStyle name="Input 4" xfId="783" xr:uid="{00000000-0005-0000-0000-000032030000}"/>
    <cellStyle name="Input 5" xfId="784" xr:uid="{00000000-0005-0000-0000-000033030000}"/>
    <cellStyle name="Komórka po??czona" xfId="785" xr:uid="{00000000-0005-0000-0000-000035030000}"/>
    <cellStyle name="Komórka połączona" xfId="786" xr:uid="{00000000-0005-0000-0000-000036030000}"/>
    <cellStyle name="Komórka zaznaczona" xfId="787" xr:uid="{00000000-0005-0000-0000-000037030000}"/>
    <cellStyle name="Linked Cell 2" xfId="789" xr:uid="{00000000-0005-0000-0000-000039030000}"/>
    <cellStyle name="Linked Cell 3" xfId="790" xr:uid="{00000000-0005-0000-0000-00003A030000}"/>
    <cellStyle name="Linked Cell 4" xfId="791" xr:uid="{00000000-0005-0000-0000-00003B030000}"/>
    <cellStyle name="Linked Cell 5" xfId="792" xr:uid="{00000000-0005-0000-0000-00003C030000}"/>
    <cellStyle name="Millares" xfId="793" builtinId="3"/>
    <cellStyle name="Millares [0]" xfId="1660" builtinId="6"/>
    <cellStyle name="Millares [0] 2" xfId="1663" xr:uid="{00000000-0005-0000-0000-00003F030000}"/>
    <cellStyle name="Millares [0] 2 2" xfId="794" xr:uid="{00000000-0005-0000-0000-000040030000}"/>
    <cellStyle name="Millares 2" xfId="795" xr:uid="{00000000-0005-0000-0000-000041030000}"/>
    <cellStyle name="Millares 3" xfId="796" xr:uid="{00000000-0005-0000-0000-000042030000}"/>
    <cellStyle name="Millares 3 2" xfId="797" xr:uid="{00000000-0005-0000-0000-000043030000}"/>
    <cellStyle name="Millares 4" xfId="798" xr:uid="{00000000-0005-0000-0000-000044030000}"/>
    <cellStyle name="Millares 5" xfId="799" xr:uid="{00000000-0005-0000-0000-000045030000}"/>
    <cellStyle name="Millares 6" xfId="1662" xr:uid="{00000000-0005-0000-0000-000046030000}"/>
    <cellStyle name="Millares 7" xfId="800" xr:uid="{00000000-0005-0000-0000-000047030000}"/>
    <cellStyle name="Millares_Analisis Razonado diciemb 08" xfId="801" xr:uid="{00000000-0005-0000-0000-000048030000}"/>
    <cellStyle name="Moneda [0] 2 2" xfId="802" xr:uid="{00000000-0005-0000-0000-000049030000}"/>
    <cellStyle name="Moneda 2" xfId="803" xr:uid="{00000000-0005-0000-0000-00004A030000}"/>
    <cellStyle name="Moneda 2 2" xfId="804" xr:uid="{00000000-0005-0000-0000-00004B030000}"/>
    <cellStyle name="Moneda 2 3" xfId="805" xr:uid="{00000000-0005-0000-0000-00004C030000}"/>
    <cellStyle name="Nag?ówek 1" xfId="806" xr:uid="{00000000-0005-0000-0000-00004D030000}"/>
    <cellStyle name="Nag?ówek 2" xfId="807" xr:uid="{00000000-0005-0000-0000-00004E030000}"/>
    <cellStyle name="Nag?ówek 3" xfId="808" xr:uid="{00000000-0005-0000-0000-00004F030000}"/>
    <cellStyle name="Nag?ówek 4" xfId="809" xr:uid="{00000000-0005-0000-0000-000050030000}"/>
    <cellStyle name="Nagłówek 1" xfId="810" xr:uid="{00000000-0005-0000-0000-000051030000}"/>
    <cellStyle name="Nagłówek 2" xfId="811" xr:uid="{00000000-0005-0000-0000-000052030000}"/>
    <cellStyle name="Nagłówek 3" xfId="812" xr:uid="{00000000-0005-0000-0000-000053030000}"/>
    <cellStyle name="Nagłówek 4" xfId="813" xr:uid="{00000000-0005-0000-0000-000054030000}"/>
    <cellStyle name="Neutral" xfId="814" builtinId="28" customBuiltin="1"/>
    <cellStyle name="Neutral 2" xfId="815" xr:uid="{00000000-0005-0000-0000-000056030000}"/>
    <cellStyle name="Neutral 2 2" xfId="816" xr:uid="{00000000-0005-0000-0000-000057030000}"/>
    <cellStyle name="Neutral 2 3" xfId="817" xr:uid="{00000000-0005-0000-0000-000058030000}"/>
    <cellStyle name="Neutral 2 4" xfId="818" xr:uid="{00000000-0005-0000-0000-000059030000}"/>
    <cellStyle name="Neutral 2 5" xfId="819" xr:uid="{00000000-0005-0000-0000-00005A030000}"/>
    <cellStyle name="Neutral 2 6" xfId="820" xr:uid="{00000000-0005-0000-0000-00005B030000}"/>
    <cellStyle name="Neutral 3" xfId="821" xr:uid="{00000000-0005-0000-0000-00005C030000}"/>
    <cellStyle name="Neutral 3 2" xfId="822" xr:uid="{00000000-0005-0000-0000-00005D030000}"/>
    <cellStyle name="Neutral 3 3" xfId="823" xr:uid="{00000000-0005-0000-0000-00005E030000}"/>
    <cellStyle name="Neutral 3 4" xfId="824" xr:uid="{00000000-0005-0000-0000-00005F030000}"/>
    <cellStyle name="Neutral 3 5" xfId="825" xr:uid="{00000000-0005-0000-0000-000060030000}"/>
    <cellStyle name="Neutral 4" xfId="826" xr:uid="{00000000-0005-0000-0000-000061030000}"/>
    <cellStyle name="Neutral 4 2" xfId="827" xr:uid="{00000000-0005-0000-0000-000062030000}"/>
    <cellStyle name="Neutral 4 3" xfId="828" xr:uid="{00000000-0005-0000-0000-000063030000}"/>
    <cellStyle name="Neutral 4 4" xfId="829" xr:uid="{00000000-0005-0000-0000-000064030000}"/>
    <cellStyle name="Neutral 4 5" xfId="830" xr:uid="{00000000-0005-0000-0000-000065030000}"/>
    <cellStyle name="Neutral 5" xfId="831" xr:uid="{00000000-0005-0000-0000-000066030000}"/>
    <cellStyle name="Neutral 5 2" xfId="832" xr:uid="{00000000-0005-0000-0000-000067030000}"/>
    <cellStyle name="Neutral 5 3" xfId="833" xr:uid="{00000000-0005-0000-0000-000068030000}"/>
    <cellStyle name="Neutral 5 4" xfId="834" xr:uid="{00000000-0005-0000-0000-000069030000}"/>
    <cellStyle name="Neutral 5 5" xfId="835" xr:uid="{00000000-0005-0000-0000-00006A030000}"/>
    <cellStyle name="Neutral 6" xfId="836" xr:uid="{00000000-0005-0000-0000-00006B030000}"/>
    <cellStyle name="Neutral 6 2" xfId="837" xr:uid="{00000000-0005-0000-0000-00006C030000}"/>
    <cellStyle name="Neutral 7" xfId="838" xr:uid="{00000000-0005-0000-0000-00006D030000}"/>
    <cellStyle name="Neutral 8" xfId="839" xr:uid="{00000000-0005-0000-0000-00006E030000}"/>
    <cellStyle name="Neutral 9" xfId="840" xr:uid="{00000000-0005-0000-0000-00006F030000}"/>
    <cellStyle name="Neutralne" xfId="841" xr:uid="{00000000-0005-0000-0000-000070030000}"/>
    <cellStyle name="Normal" xfId="0" builtinId="0"/>
    <cellStyle name="Normal 10" xfId="842" xr:uid="{00000000-0005-0000-0000-000072030000}"/>
    <cellStyle name="Normal 10 2" xfId="843" xr:uid="{00000000-0005-0000-0000-000073030000}"/>
    <cellStyle name="Normal 11" xfId="844" xr:uid="{00000000-0005-0000-0000-000074030000}"/>
    <cellStyle name="Normal 11 2" xfId="845" xr:uid="{00000000-0005-0000-0000-000075030000}"/>
    <cellStyle name="Normal 12" xfId="846" xr:uid="{00000000-0005-0000-0000-000076030000}"/>
    <cellStyle name="Normal 12 2" xfId="847" xr:uid="{00000000-0005-0000-0000-000077030000}"/>
    <cellStyle name="Normal 13" xfId="848" xr:uid="{00000000-0005-0000-0000-000078030000}"/>
    <cellStyle name="Normal 13 2" xfId="849" xr:uid="{00000000-0005-0000-0000-000079030000}"/>
    <cellStyle name="Normal 14" xfId="850" xr:uid="{00000000-0005-0000-0000-00007A030000}"/>
    <cellStyle name="Normal 15" xfId="851" xr:uid="{00000000-0005-0000-0000-00007B030000}"/>
    <cellStyle name="Normal 15 2" xfId="852" xr:uid="{00000000-0005-0000-0000-00007C030000}"/>
    <cellStyle name="Normal 16" xfId="1658" xr:uid="{00000000-0005-0000-0000-00007D030000}"/>
    <cellStyle name="Normal 17" xfId="853" xr:uid="{00000000-0005-0000-0000-00007E030000}"/>
    <cellStyle name="Normal 18" xfId="1657" xr:uid="{00000000-0005-0000-0000-00007F030000}"/>
    <cellStyle name="Normal 2" xfId="854" xr:uid="{00000000-0005-0000-0000-000080030000}"/>
    <cellStyle name="Normal 2 10" xfId="855" xr:uid="{00000000-0005-0000-0000-000081030000}"/>
    <cellStyle name="Normal 2 11" xfId="856" xr:uid="{00000000-0005-0000-0000-000082030000}"/>
    <cellStyle name="Normal 2 12" xfId="857" xr:uid="{00000000-0005-0000-0000-000083030000}"/>
    <cellStyle name="Normal 2 13" xfId="1661" xr:uid="{00000000-0005-0000-0000-000084030000}"/>
    <cellStyle name="Normal 2 2" xfId="858" xr:uid="{00000000-0005-0000-0000-000085030000}"/>
    <cellStyle name="Normal 2 2 2" xfId="859" xr:uid="{00000000-0005-0000-0000-000086030000}"/>
    <cellStyle name="Normal 2 3" xfId="860" xr:uid="{00000000-0005-0000-0000-000087030000}"/>
    <cellStyle name="Normal 2 4" xfId="861" xr:uid="{00000000-0005-0000-0000-000088030000}"/>
    <cellStyle name="Normal 2 5" xfId="862" xr:uid="{00000000-0005-0000-0000-000089030000}"/>
    <cellStyle name="Normal 2 6" xfId="863" xr:uid="{00000000-0005-0000-0000-00008A030000}"/>
    <cellStyle name="Normal 2 7" xfId="864" xr:uid="{00000000-0005-0000-0000-00008B030000}"/>
    <cellStyle name="Normal 2 8" xfId="865" xr:uid="{00000000-0005-0000-0000-00008C030000}"/>
    <cellStyle name="Normal 2 9" xfId="866" xr:uid="{00000000-0005-0000-0000-00008D030000}"/>
    <cellStyle name="Normal 2_Combinación de negocios - AA-IAMv3" xfId="867" xr:uid="{00000000-0005-0000-0000-00008E030000}"/>
    <cellStyle name="Normal 3" xfId="868" xr:uid="{00000000-0005-0000-0000-00008F030000}"/>
    <cellStyle name="Normal 3 2" xfId="869" xr:uid="{00000000-0005-0000-0000-000090030000}"/>
    <cellStyle name="Normal 4" xfId="870" xr:uid="{00000000-0005-0000-0000-000091030000}"/>
    <cellStyle name="Normal 5" xfId="871" xr:uid="{00000000-0005-0000-0000-000092030000}"/>
    <cellStyle name="Normal 6" xfId="872" xr:uid="{00000000-0005-0000-0000-000093030000}"/>
    <cellStyle name="Normal 6 2" xfId="873" xr:uid="{00000000-0005-0000-0000-000094030000}"/>
    <cellStyle name="Normal 7" xfId="874" xr:uid="{00000000-0005-0000-0000-000095030000}"/>
    <cellStyle name="Normal 8" xfId="875" xr:uid="{00000000-0005-0000-0000-000096030000}"/>
    <cellStyle name="Normal 9" xfId="876" xr:uid="{00000000-0005-0000-0000-000097030000}"/>
    <cellStyle name="Notas" xfId="904" builtinId="10" customBuiltin="1"/>
    <cellStyle name="Notas 10" xfId="877" xr:uid="{00000000-0005-0000-0000-000099030000}"/>
    <cellStyle name="Notas 2" xfId="878" xr:uid="{00000000-0005-0000-0000-00009A030000}"/>
    <cellStyle name="Notas 2 2" xfId="879" xr:uid="{00000000-0005-0000-0000-00009B030000}"/>
    <cellStyle name="Notas 2 3" xfId="880" xr:uid="{00000000-0005-0000-0000-00009C030000}"/>
    <cellStyle name="Notas 2 4" xfId="881" xr:uid="{00000000-0005-0000-0000-00009D030000}"/>
    <cellStyle name="Notas 2 5" xfId="882" xr:uid="{00000000-0005-0000-0000-00009E030000}"/>
    <cellStyle name="Notas 2 6" xfId="883" xr:uid="{00000000-0005-0000-0000-00009F030000}"/>
    <cellStyle name="Notas 3" xfId="884" xr:uid="{00000000-0005-0000-0000-0000A0030000}"/>
    <cellStyle name="Notas 3 2" xfId="885" xr:uid="{00000000-0005-0000-0000-0000A1030000}"/>
    <cellStyle name="Notas 3 3" xfId="886" xr:uid="{00000000-0005-0000-0000-0000A2030000}"/>
    <cellStyle name="Notas 3 4" xfId="887" xr:uid="{00000000-0005-0000-0000-0000A3030000}"/>
    <cellStyle name="Notas 3 5" xfId="888" xr:uid="{00000000-0005-0000-0000-0000A4030000}"/>
    <cellStyle name="Notas 4" xfId="889" xr:uid="{00000000-0005-0000-0000-0000A5030000}"/>
    <cellStyle name="Notas 4 2" xfId="890" xr:uid="{00000000-0005-0000-0000-0000A6030000}"/>
    <cellStyle name="Notas 4 3" xfId="891" xr:uid="{00000000-0005-0000-0000-0000A7030000}"/>
    <cellStyle name="Notas 4 4" xfId="892" xr:uid="{00000000-0005-0000-0000-0000A8030000}"/>
    <cellStyle name="Notas 4 5" xfId="893" xr:uid="{00000000-0005-0000-0000-0000A9030000}"/>
    <cellStyle name="Notas 5" xfId="894" xr:uid="{00000000-0005-0000-0000-0000AA030000}"/>
    <cellStyle name="Notas 5 2" xfId="895" xr:uid="{00000000-0005-0000-0000-0000AB030000}"/>
    <cellStyle name="Notas 5 3" xfId="896" xr:uid="{00000000-0005-0000-0000-0000AC030000}"/>
    <cellStyle name="Notas 5 4" xfId="897" xr:uid="{00000000-0005-0000-0000-0000AD030000}"/>
    <cellStyle name="Notas 5 5" xfId="898" xr:uid="{00000000-0005-0000-0000-0000AE030000}"/>
    <cellStyle name="Notas 6" xfId="899" xr:uid="{00000000-0005-0000-0000-0000AF030000}"/>
    <cellStyle name="Notas 6 2" xfId="900" xr:uid="{00000000-0005-0000-0000-0000B0030000}"/>
    <cellStyle name="Notas 7" xfId="901" xr:uid="{00000000-0005-0000-0000-0000B1030000}"/>
    <cellStyle name="Notas 8" xfId="902" xr:uid="{00000000-0005-0000-0000-0000B2030000}"/>
    <cellStyle name="Notas 9" xfId="903" xr:uid="{00000000-0005-0000-0000-0000B3030000}"/>
    <cellStyle name="Note 2" xfId="905" xr:uid="{00000000-0005-0000-0000-0000B5030000}"/>
    <cellStyle name="Note 3" xfId="906" xr:uid="{00000000-0005-0000-0000-0000B6030000}"/>
    <cellStyle name="Note 4" xfId="907" xr:uid="{00000000-0005-0000-0000-0000B7030000}"/>
    <cellStyle name="Note 5" xfId="908" xr:uid="{00000000-0005-0000-0000-0000B8030000}"/>
    <cellStyle name="Note 6" xfId="909" xr:uid="{00000000-0005-0000-0000-0000B9030000}"/>
    <cellStyle name="Note 7" xfId="910" xr:uid="{00000000-0005-0000-0000-0000BA030000}"/>
    <cellStyle name="Note 8" xfId="911" xr:uid="{00000000-0005-0000-0000-0000BB030000}"/>
    <cellStyle name="Obliczenia" xfId="912" xr:uid="{00000000-0005-0000-0000-0000BC030000}"/>
    <cellStyle name="Output" xfId="931" xr:uid="{00000000-0005-0000-0000-0000BD030000}"/>
    <cellStyle name="Porcentaje" xfId="913" builtinId="5"/>
    <cellStyle name="Porcentaje 2" xfId="1659" xr:uid="{00000000-0005-0000-0000-0000BF030000}"/>
    <cellStyle name="Porcentual 10" xfId="914" xr:uid="{00000000-0005-0000-0000-0000C0030000}"/>
    <cellStyle name="Porcentual 10 2" xfId="915" xr:uid="{00000000-0005-0000-0000-0000C1030000}"/>
    <cellStyle name="Porcentual 11" xfId="916" xr:uid="{00000000-0005-0000-0000-0000C2030000}"/>
    <cellStyle name="Porcentual 11 2" xfId="917" xr:uid="{00000000-0005-0000-0000-0000C3030000}"/>
    <cellStyle name="Porcentual 2" xfId="918" xr:uid="{00000000-0005-0000-0000-0000C4030000}"/>
    <cellStyle name="Porcentual 2 2" xfId="919" xr:uid="{00000000-0005-0000-0000-0000C5030000}"/>
    <cellStyle name="Porcentual 3" xfId="920" xr:uid="{00000000-0005-0000-0000-0000C6030000}"/>
    <cellStyle name="Porcentual 4" xfId="921" xr:uid="{00000000-0005-0000-0000-0000C7030000}"/>
    <cellStyle name="Porcentual 4 2" xfId="922" xr:uid="{00000000-0005-0000-0000-0000C8030000}"/>
    <cellStyle name="Porcentual 5" xfId="923" xr:uid="{00000000-0005-0000-0000-0000C9030000}"/>
    <cellStyle name="Porcentual 5 2" xfId="924" xr:uid="{00000000-0005-0000-0000-0000CA030000}"/>
    <cellStyle name="Porcentual 6" xfId="925" xr:uid="{00000000-0005-0000-0000-0000CB030000}"/>
    <cellStyle name="Porcentual 7" xfId="926" xr:uid="{00000000-0005-0000-0000-0000CC030000}"/>
    <cellStyle name="Porcentual 7 2" xfId="927" xr:uid="{00000000-0005-0000-0000-0000CD030000}"/>
    <cellStyle name="Porcentual 8" xfId="928" xr:uid="{00000000-0005-0000-0000-0000CE030000}"/>
    <cellStyle name="Porcentual 8 2" xfId="929" xr:uid="{00000000-0005-0000-0000-0000CF030000}"/>
    <cellStyle name="Porcentual 9" xfId="930" xr:uid="{00000000-0005-0000-0000-0000D0030000}"/>
    <cellStyle name="Salida 2" xfId="932" xr:uid="{00000000-0005-0000-0000-0000D2030000}"/>
    <cellStyle name="Salida 2 2" xfId="933" xr:uid="{00000000-0005-0000-0000-0000D3030000}"/>
    <cellStyle name="Salida 2 3" xfId="934" xr:uid="{00000000-0005-0000-0000-0000D4030000}"/>
    <cellStyle name="Salida 2 4" xfId="935" xr:uid="{00000000-0005-0000-0000-0000D5030000}"/>
    <cellStyle name="Salida 2 5" xfId="936" xr:uid="{00000000-0005-0000-0000-0000D6030000}"/>
    <cellStyle name="Salida 2 6" xfId="937" xr:uid="{00000000-0005-0000-0000-0000D7030000}"/>
    <cellStyle name="Salida 3" xfId="938" xr:uid="{00000000-0005-0000-0000-0000D8030000}"/>
    <cellStyle name="Salida 3 2" xfId="939" xr:uid="{00000000-0005-0000-0000-0000D9030000}"/>
    <cellStyle name="Salida 3 3" xfId="940" xr:uid="{00000000-0005-0000-0000-0000DA030000}"/>
    <cellStyle name="Salida 3 4" xfId="941" xr:uid="{00000000-0005-0000-0000-0000DB030000}"/>
    <cellStyle name="Salida 3 5" xfId="942" xr:uid="{00000000-0005-0000-0000-0000DC030000}"/>
    <cellStyle name="Salida 4" xfId="943" xr:uid="{00000000-0005-0000-0000-0000DD030000}"/>
    <cellStyle name="Salida 4 2" xfId="944" xr:uid="{00000000-0005-0000-0000-0000DE030000}"/>
    <cellStyle name="Salida 4 3" xfId="945" xr:uid="{00000000-0005-0000-0000-0000DF030000}"/>
    <cellStyle name="Salida 4 4" xfId="946" xr:uid="{00000000-0005-0000-0000-0000E0030000}"/>
    <cellStyle name="Salida 4 5" xfId="947" xr:uid="{00000000-0005-0000-0000-0000E1030000}"/>
    <cellStyle name="Salida 5" xfId="948" xr:uid="{00000000-0005-0000-0000-0000E2030000}"/>
    <cellStyle name="Salida 5 2" xfId="949" xr:uid="{00000000-0005-0000-0000-0000E3030000}"/>
    <cellStyle name="Salida 5 3" xfId="950" xr:uid="{00000000-0005-0000-0000-0000E4030000}"/>
    <cellStyle name="Salida 5 4" xfId="951" xr:uid="{00000000-0005-0000-0000-0000E5030000}"/>
    <cellStyle name="Salida 5 5" xfId="952" xr:uid="{00000000-0005-0000-0000-0000E6030000}"/>
    <cellStyle name="Salida 6" xfId="953" xr:uid="{00000000-0005-0000-0000-0000E7030000}"/>
    <cellStyle name="Salida 6 2" xfId="954" xr:uid="{00000000-0005-0000-0000-0000E8030000}"/>
    <cellStyle name="Salida 7" xfId="955" xr:uid="{00000000-0005-0000-0000-0000E9030000}"/>
    <cellStyle name="Salida 8" xfId="956" xr:uid="{00000000-0005-0000-0000-0000EA030000}"/>
    <cellStyle name="Salida 9" xfId="957" xr:uid="{00000000-0005-0000-0000-0000EB030000}"/>
    <cellStyle name="SAPBEXaggData" xfId="958" xr:uid="{00000000-0005-0000-0000-0000EC030000}"/>
    <cellStyle name="SAPBEXaggData 10" xfId="959" xr:uid="{00000000-0005-0000-0000-0000ED030000}"/>
    <cellStyle name="SAPBEXaggData 11" xfId="960" xr:uid="{00000000-0005-0000-0000-0000EE030000}"/>
    <cellStyle name="SAPBEXaggData 2" xfId="961" xr:uid="{00000000-0005-0000-0000-0000EF030000}"/>
    <cellStyle name="SAPBEXaggData 2 2" xfId="962" xr:uid="{00000000-0005-0000-0000-0000F0030000}"/>
    <cellStyle name="SAPBEXaggData 2 2 2" xfId="963" xr:uid="{00000000-0005-0000-0000-0000F1030000}"/>
    <cellStyle name="SAPBEXaggData 3" xfId="964" xr:uid="{00000000-0005-0000-0000-0000F2030000}"/>
    <cellStyle name="SAPBEXaggData 4" xfId="965" xr:uid="{00000000-0005-0000-0000-0000F3030000}"/>
    <cellStyle name="SAPBEXaggData 5" xfId="966" xr:uid="{00000000-0005-0000-0000-0000F4030000}"/>
    <cellStyle name="SAPBEXaggData 6" xfId="967" xr:uid="{00000000-0005-0000-0000-0000F5030000}"/>
    <cellStyle name="SAPBEXaggData 7" xfId="968" xr:uid="{00000000-0005-0000-0000-0000F6030000}"/>
    <cellStyle name="SAPBEXaggData 8" xfId="969" xr:uid="{00000000-0005-0000-0000-0000F7030000}"/>
    <cellStyle name="SAPBEXaggData 9" xfId="970" xr:uid="{00000000-0005-0000-0000-0000F8030000}"/>
    <cellStyle name="SAPBEXaggData_gxaccion, 68" xfId="971" xr:uid="{00000000-0005-0000-0000-0000F9030000}"/>
    <cellStyle name="SAPBEXaggDataEmph" xfId="972" xr:uid="{00000000-0005-0000-0000-0000FA030000}"/>
    <cellStyle name="SAPBEXaggDataEmph 10" xfId="973" xr:uid="{00000000-0005-0000-0000-0000FB030000}"/>
    <cellStyle name="SAPBEXaggDataEmph 11" xfId="974" xr:uid="{00000000-0005-0000-0000-0000FC030000}"/>
    <cellStyle name="SAPBEXaggDataEmph 2" xfId="975" xr:uid="{00000000-0005-0000-0000-0000FD030000}"/>
    <cellStyle name="SAPBEXaggDataEmph 2 2" xfId="976" xr:uid="{00000000-0005-0000-0000-0000FE030000}"/>
    <cellStyle name="SAPBEXaggDataEmph 2 2 2" xfId="977" xr:uid="{00000000-0005-0000-0000-0000FF030000}"/>
    <cellStyle name="SAPBEXaggDataEmph 3" xfId="978" xr:uid="{00000000-0005-0000-0000-000000040000}"/>
    <cellStyle name="SAPBEXaggDataEmph 4" xfId="979" xr:uid="{00000000-0005-0000-0000-000001040000}"/>
    <cellStyle name="SAPBEXaggDataEmph 5" xfId="980" xr:uid="{00000000-0005-0000-0000-000002040000}"/>
    <cellStyle name="SAPBEXaggDataEmph 6" xfId="981" xr:uid="{00000000-0005-0000-0000-000003040000}"/>
    <cellStyle name="SAPBEXaggDataEmph 7" xfId="982" xr:uid="{00000000-0005-0000-0000-000004040000}"/>
    <cellStyle name="SAPBEXaggDataEmph 8" xfId="983" xr:uid="{00000000-0005-0000-0000-000005040000}"/>
    <cellStyle name="SAPBEXaggDataEmph 9" xfId="984" xr:uid="{00000000-0005-0000-0000-000006040000}"/>
    <cellStyle name="SAPBEXaggDataEmph_valor justo.junio2010" xfId="985" xr:uid="{00000000-0005-0000-0000-000007040000}"/>
    <cellStyle name="SAPBEXaggItem" xfId="986" xr:uid="{00000000-0005-0000-0000-000008040000}"/>
    <cellStyle name="SAPBEXaggItem 10" xfId="987" xr:uid="{00000000-0005-0000-0000-000009040000}"/>
    <cellStyle name="SAPBEXaggItem 11" xfId="988" xr:uid="{00000000-0005-0000-0000-00000A040000}"/>
    <cellStyle name="SAPBEXaggItem 2" xfId="989" xr:uid="{00000000-0005-0000-0000-00000B040000}"/>
    <cellStyle name="SAPBEXaggItem 2 2" xfId="990" xr:uid="{00000000-0005-0000-0000-00000C040000}"/>
    <cellStyle name="SAPBEXaggItem 2 2 2" xfId="991" xr:uid="{00000000-0005-0000-0000-00000D040000}"/>
    <cellStyle name="SAPBEXaggItem 3" xfId="992" xr:uid="{00000000-0005-0000-0000-00000E040000}"/>
    <cellStyle name="SAPBEXaggItem 4" xfId="993" xr:uid="{00000000-0005-0000-0000-00000F040000}"/>
    <cellStyle name="SAPBEXaggItem 5" xfId="994" xr:uid="{00000000-0005-0000-0000-000010040000}"/>
    <cellStyle name="SAPBEXaggItem 6" xfId="995" xr:uid="{00000000-0005-0000-0000-000011040000}"/>
    <cellStyle name="SAPBEXaggItem 7" xfId="996" xr:uid="{00000000-0005-0000-0000-000012040000}"/>
    <cellStyle name="SAPBEXaggItem 8" xfId="997" xr:uid="{00000000-0005-0000-0000-000013040000}"/>
    <cellStyle name="SAPBEXaggItem 9" xfId="998" xr:uid="{00000000-0005-0000-0000-000014040000}"/>
    <cellStyle name="SAPBEXaggItem_gxaccion, 68" xfId="999" xr:uid="{00000000-0005-0000-0000-000015040000}"/>
    <cellStyle name="SAPBEXaggItemX" xfId="1000" xr:uid="{00000000-0005-0000-0000-000016040000}"/>
    <cellStyle name="SAPBEXaggItemX 10" xfId="1001" xr:uid="{00000000-0005-0000-0000-000017040000}"/>
    <cellStyle name="SAPBEXaggItemX 11" xfId="1002" xr:uid="{00000000-0005-0000-0000-000018040000}"/>
    <cellStyle name="SAPBEXaggItemX 2" xfId="1003" xr:uid="{00000000-0005-0000-0000-000019040000}"/>
    <cellStyle name="SAPBEXaggItemX 2 2" xfId="1004" xr:uid="{00000000-0005-0000-0000-00001A040000}"/>
    <cellStyle name="SAPBEXaggItemX 2 2 2" xfId="1005" xr:uid="{00000000-0005-0000-0000-00001B040000}"/>
    <cellStyle name="SAPBEXaggItemX 3" xfId="1006" xr:uid="{00000000-0005-0000-0000-00001C040000}"/>
    <cellStyle name="SAPBEXaggItemX 4" xfId="1007" xr:uid="{00000000-0005-0000-0000-00001D040000}"/>
    <cellStyle name="SAPBEXaggItemX 5" xfId="1008" xr:uid="{00000000-0005-0000-0000-00001E040000}"/>
    <cellStyle name="SAPBEXaggItemX 6" xfId="1009" xr:uid="{00000000-0005-0000-0000-00001F040000}"/>
    <cellStyle name="SAPBEXaggItemX 7" xfId="1010" xr:uid="{00000000-0005-0000-0000-000020040000}"/>
    <cellStyle name="SAPBEXaggItemX 8" xfId="1011" xr:uid="{00000000-0005-0000-0000-000021040000}"/>
    <cellStyle name="SAPBEXaggItemX 9" xfId="1012" xr:uid="{00000000-0005-0000-0000-000022040000}"/>
    <cellStyle name="SAPBEXaggItemX_valor justo.junio2010" xfId="1013" xr:uid="{00000000-0005-0000-0000-000023040000}"/>
    <cellStyle name="SAPBEXchaText" xfId="1014" xr:uid="{00000000-0005-0000-0000-000024040000}"/>
    <cellStyle name="SAPBEXchaText 10" xfId="1015" xr:uid="{00000000-0005-0000-0000-000025040000}"/>
    <cellStyle name="SAPBEXchaText 11" xfId="1016" xr:uid="{00000000-0005-0000-0000-000026040000}"/>
    <cellStyle name="SAPBEXchaText 2" xfId="1017" xr:uid="{00000000-0005-0000-0000-000027040000}"/>
    <cellStyle name="SAPBEXchaText 2 2" xfId="1018" xr:uid="{00000000-0005-0000-0000-000028040000}"/>
    <cellStyle name="SAPBEXchaText 2 2 2" xfId="1019" xr:uid="{00000000-0005-0000-0000-000029040000}"/>
    <cellStyle name="SAPBEXchaText 3" xfId="1020" xr:uid="{00000000-0005-0000-0000-00002A040000}"/>
    <cellStyle name="SAPBEXchaText 4" xfId="1021" xr:uid="{00000000-0005-0000-0000-00002B040000}"/>
    <cellStyle name="SAPBEXchaText 5" xfId="1022" xr:uid="{00000000-0005-0000-0000-00002C040000}"/>
    <cellStyle name="SAPBEXchaText 6" xfId="1023" xr:uid="{00000000-0005-0000-0000-00002D040000}"/>
    <cellStyle name="SAPBEXchaText 7" xfId="1024" xr:uid="{00000000-0005-0000-0000-00002E040000}"/>
    <cellStyle name="SAPBEXchaText 8" xfId="1025" xr:uid="{00000000-0005-0000-0000-00002F040000}"/>
    <cellStyle name="SAPBEXchaText 9" xfId="1026" xr:uid="{00000000-0005-0000-0000-000030040000}"/>
    <cellStyle name="SAPBEXchaText_gxaccion, 68" xfId="1027" xr:uid="{00000000-0005-0000-0000-000031040000}"/>
    <cellStyle name="SAPBEXexcBad7" xfId="1028" xr:uid="{00000000-0005-0000-0000-000032040000}"/>
    <cellStyle name="SAPBEXexcBad7 10" xfId="1029" xr:uid="{00000000-0005-0000-0000-000033040000}"/>
    <cellStyle name="SAPBEXexcBad7 11" xfId="1030" xr:uid="{00000000-0005-0000-0000-000034040000}"/>
    <cellStyle name="SAPBEXexcBad7 2" xfId="1031" xr:uid="{00000000-0005-0000-0000-000035040000}"/>
    <cellStyle name="SAPBEXexcBad7 2 2" xfId="1032" xr:uid="{00000000-0005-0000-0000-000036040000}"/>
    <cellStyle name="SAPBEXexcBad7 2 2 2" xfId="1033" xr:uid="{00000000-0005-0000-0000-000037040000}"/>
    <cellStyle name="SAPBEXexcBad7 3" xfId="1034" xr:uid="{00000000-0005-0000-0000-000038040000}"/>
    <cellStyle name="SAPBEXexcBad7 4" xfId="1035" xr:uid="{00000000-0005-0000-0000-000039040000}"/>
    <cellStyle name="SAPBEXexcBad7 5" xfId="1036" xr:uid="{00000000-0005-0000-0000-00003A040000}"/>
    <cellStyle name="SAPBEXexcBad7 6" xfId="1037" xr:uid="{00000000-0005-0000-0000-00003B040000}"/>
    <cellStyle name="SAPBEXexcBad7 7" xfId="1038" xr:uid="{00000000-0005-0000-0000-00003C040000}"/>
    <cellStyle name="SAPBEXexcBad7 8" xfId="1039" xr:uid="{00000000-0005-0000-0000-00003D040000}"/>
    <cellStyle name="SAPBEXexcBad7 9" xfId="1040" xr:uid="{00000000-0005-0000-0000-00003E040000}"/>
    <cellStyle name="SAPBEXexcBad7_gxaccion, 68" xfId="1041" xr:uid="{00000000-0005-0000-0000-00003F040000}"/>
    <cellStyle name="SAPBEXexcBad8" xfId="1042" xr:uid="{00000000-0005-0000-0000-000040040000}"/>
    <cellStyle name="SAPBEXexcBad8 10" xfId="1043" xr:uid="{00000000-0005-0000-0000-000041040000}"/>
    <cellStyle name="SAPBEXexcBad8 11" xfId="1044" xr:uid="{00000000-0005-0000-0000-000042040000}"/>
    <cellStyle name="SAPBEXexcBad8 2" xfId="1045" xr:uid="{00000000-0005-0000-0000-000043040000}"/>
    <cellStyle name="SAPBEXexcBad8 2 2" xfId="1046" xr:uid="{00000000-0005-0000-0000-000044040000}"/>
    <cellStyle name="SAPBEXexcBad8 2 2 2" xfId="1047" xr:uid="{00000000-0005-0000-0000-000045040000}"/>
    <cellStyle name="SAPBEXexcBad8 3" xfId="1048" xr:uid="{00000000-0005-0000-0000-000046040000}"/>
    <cellStyle name="SAPBEXexcBad8 4" xfId="1049" xr:uid="{00000000-0005-0000-0000-000047040000}"/>
    <cellStyle name="SAPBEXexcBad8 5" xfId="1050" xr:uid="{00000000-0005-0000-0000-000048040000}"/>
    <cellStyle name="SAPBEXexcBad8 6" xfId="1051" xr:uid="{00000000-0005-0000-0000-000049040000}"/>
    <cellStyle name="SAPBEXexcBad8 7" xfId="1052" xr:uid="{00000000-0005-0000-0000-00004A040000}"/>
    <cellStyle name="SAPBEXexcBad8 8" xfId="1053" xr:uid="{00000000-0005-0000-0000-00004B040000}"/>
    <cellStyle name="SAPBEXexcBad8 9" xfId="1054" xr:uid="{00000000-0005-0000-0000-00004C040000}"/>
    <cellStyle name="SAPBEXexcBad8_gxaccion, 68" xfId="1055" xr:uid="{00000000-0005-0000-0000-00004D040000}"/>
    <cellStyle name="SAPBEXexcBad9" xfId="1056" xr:uid="{00000000-0005-0000-0000-00004E040000}"/>
    <cellStyle name="SAPBEXexcBad9 10" xfId="1057" xr:uid="{00000000-0005-0000-0000-00004F040000}"/>
    <cellStyle name="SAPBEXexcBad9 11" xfId="1058" xr:uid="{00000000-0005-0000-0000-000050040000}"/>
    <cellStyle name="SAPBEXexcBad9 2" xfId="1059" xr:uid="{00000000-0005-0000-0000-000051040000}"/>
    <cellStyle name="SAPBEXexcBad9 2 2" xfId="1060" xr:uid="{00000000-0005-0000-0000-000052040000}"/>
    <cellStyle name="SAPBEXexcBad9 2 2 2" xfId="1061" xr:uid="{00000000-0005-0000-0000-000053040000}"/>
    <cellStyle name="SAPBEXexcBad9 3" xfId="1062" xr:uid="{00000000-0005-0000-0000-000054040000}"/>
    <cellStyle name="SAPBEXexcBad9 4" xfId="1063" xr:uid="{00000000-0005-0000-0000-000055040000}"/>
    <cellStyle name="SAPBEXexcBad9 5" xfId="1064" xr:uid="{00000000-0005-0000-0000-000056040000}"/>
    <cellStyle name="SAPBEXexcBad9 6" xfId="1065" xr:uid="{00000000-0005-0000-0000-000057040000}"/>
    <cellStyle name="SAPBEXexcBad9 7" xfId="1066" xr:uid="{00000000-0005-0000-0000-000058040000}"/>
    <cellStyle name="SAPBEXexcBad9 8" xfId="1067" xr:uid="{00000000-0005-0000-0000-000059040000}"/>
    <cellStyle name="SAPBEXexcBad9 9" xfId="1068" xr:uid="{00000000-0005-0000-0000-00005A040000}"/>
    <cellStyle name="SAPBEXexcBad9_gxaccion, 68" xfId="1069" xr:uid="{00000000-0005-0000-0000-00005B040000}"/>
    <cellStyle name="SAPBEXexcCritical4" xfId="1070" xr:uid="{00000000-0005-0000-0000-00005C040000}"/>
    <cellStyle name="SAPBEXexcCritical4 10" xfId="1071" xr:uid="{00000000-0005-0000-0000-00005D040000}"/>
    <cellStyle name="SAPBEXexcCritical4 11" xfId="1072" xr:uid="{00000000-0005-0000-0000-00005E040000}"/>
    <cellStyle name="SAPBEXexcCritical4 2" xfId="1073" xr:uid="{00000000-0005-0000-0000-00005F040000}"/>
    <cellStyle name="SAPBEXexcCritical4 2 2" xfId="1074" xr:uid="{00000000-0005-0000-0000-000060040000}"/>
    <cellStyle name="SAPBEXexcCritical4 2 2 2" xfId="1075" xr:uid="{00000000-0005-0000-0000-000061040000}"/>
    <cellStyle name="SAPBEXexcCritical4 3" xfId="1076" xr:uid="{00000000-0005-0000-0000-000062040000}"/>
    <cellStyle name="SAPBEXexcCritical4 4" xfId="1077" xr:uid="{00000000-0005-0000-0000-000063040000}"/>
    <cellStyle name="SAPBEXexcCritical4 5" xfId="1078" xr:uid="{00000000-0005-0000-0000-000064040000}"/>
    <cellStyle name="SAPBEXexcCritical4 6" xfId="1079" xr:uid="{00000000-0005-0000-0000-000065040000}"/>
    <cellStyle name="SAPBEXexcCritical4 7" xfId="1080" xr:uid="{00000000-0005-0000-0000-000066040000}"/>
    <cellStyle name="SAPBEXexcCritical4 8" xfId="1081" xr:uid="{00000000-0005-0000-0000-000067040000}"/>
    <cellStyle name="SAPBEXexcCritical4 9" xfId="1082" xr:uid="{00000000-0005-0000-0000-000068040000}"/>
    <cellStyle name="SAPBEXexcCritical4_gxaccion, 68" xfId="1083" xr:uid="{00000000-0005-0000-0000-000069040000}"/>
    <cellStyle name="SAPBEXexcCritical5" xfId="1084" xr:uid="{00000000-0005-0000-0000-00006A040000}"/>
    <cellStyle name="SAPBEXexcCritical5 10" xfId="1085" xr:uid="{00000000-0005-0000-0000-00006B040000}"/>
    <cellStyle name="SAPBEXexcCritical5 11" xfId="1086" xr:uid="{00000000-0005-0000-0000-00006C040000}"/>
    <cellStyle name="SAPBEXexcCritical5 2" xfId="1087" xr:uid="{00000000-0005-0000-0000-00006D040000}"/>
    <cellStyle name="SAPBEXexcCritical5 2 2" xfId="1088" xr:uid="{00000000-0005-0000-0000-00006E040000}"/>
    <cellStyle name="SAPBEXexcCritical5 2 2 2" xfId="1089" xr:uid="{00000000-0005-0000-0000-00006F040000}"/>
    <cellStyle name="SAPBEXexcCritical5 3" xfId="1090" xr:uid="{00000000-0005-0000-0000-000070040000}"/>
    <cellStyle name="SAPBEXexcCritical5 4" xfId="1091" xr:uid="{00000000-0005-0000-0000-000071040000}"/>
    <cellStyle name="SAPBEXexcCritical5 5" xfId="1092" xr:uid="{00000000-0005-0000-0000-000072040000}"/>
    <cellStyle name="SAPBEXexcCritical5 6" xfId="1093" xr:uid="{00000000-0005-0000-0000-000073040000}"/>
    <cellStyle name="SAPBEXexcCritical5 7" xfId="1094" xr:uid="{00000000-0005-0000-0000-000074040000}"/>
    <cellStyle name="SAPBEXexcCritical5 8" xfId="1095" xr:uid="{00000000-0005-0000-0000-000075040000}"/>
    <cellStyle name="SAPBEXexcCritical5 9" xfId="1096" xr:uid="{00000000-0005-0000-0000-000076040000}"/>
    <cellStyle name="SAPBEXexcCritical5_gxaccion, 68" xfId="1097" xr:uid="{00000000-0005-0000-0000-000077040000}"/>
    <cellStyle name="SAPBEXexcCritical6" xfId="1098" xr:uid="{00000000-0005-0000-0000-000078040000}"/>
    <cellStyle name="SAPBEXexcCritical6 10" xfId="1099" xr:uid="{00000000-0005-0000-0000-000079040000}"/>
    <cellStyle name="SAPBEXexcCritical6 11" xfId="1100" xr:uid="{00000000-0005-0000-0000-00007A040000}"/>
    <cellStyle name="SAPBEXexcCritical6 2" xfId="1101" xr:uid="{00000000-0005-0000-0000-00007B040000}"/>
    <cellStyle name="SAPBEXexcCritical6 2 2" xfId="1102" xr:uid="{00000000-0005-0000-0000-00007C040000}"/>
    <cellStyle name="SAPBEXexcCritical6 2 2 2" xfId="1103" xr:uid="{00000000-0005-0000-0000-00007D040000}"/>
    <cellStyle name="SAPBEXexcCritical6 3" xfId="1104" xr:uid="{00000000-0005-0000-0000-00007E040000}"/>
    <cellStyle name="SAPBEXexcCritical6 4" xfId="1105" xr:uid="{00000000-0005-0000-0000-00007F040000}"/>
    <cellStyle name="SAPBEXexcCritical6 5" xfId="1106" xr:uid="{00000000-0005-0000-0000-000080040000}"/>
    <cellStyle name="SAPBEXexcCritical6 6" xfId="1107" xr:uid="{00000000-0005-0000-0000-000081040000}"/>
    <cellStyle name="SAPBEXexcCritical6 7" xfId="1108" xr:uid="{00000000-0005-0000-0000-000082040000}"/>
    <cellStyle name="SAPBEXexcCritical6 8" xfId="1109" xr:uid="{00000000-0005-0000-0000-000083040000}"/>
    <cellStyle name="SAPBEXexcCritical6 9" xfId="1110" xr:uid="{00000000-0005-0000-0000-000084040000}"/>
    <cellStyle name="SAPBEXexcCritical6_gxaccion, 68" xfId="1111" xr:uid="{00000000-0005-0000-0000-000085040000}"/>
    <cellStyle name="SAPBEXexcGood1" xfId="1112" xr:uid="{00000000-0005-0000-0000-000086040000}"/>
    <cellStyle name="SAPBEXexcGood1 10" xfId="1113" xr:uid="{00000000-0005-0000-0000-000087040000}"/>
    <cellStyle name="SAPBEXexcGood1 11" xfId="1114" xr:uid="{00000000-0005-0000-0000-000088040000}"/>
    <cellStyle name="SAPBEXexcGood1 2" xfId="1115" xr:uid="{00000000-0005-0000-0000-000089040000}"/>
    <cellStyle name="SAPBEXexcGood1 2 2" xfId="1116" xr:uid="{00000000-0005-0000-0000-00008A040000}"/>
    <cellStyle name="SAPBEXexcGood1 2 2 2" xfId="1117" xr:uid="{00000000-0005-0000-0000-00008B040000}"/>
    <cellStyle name="SAPBEXexcGood1 3" xfId="1118" xr:uid="{00000000-0005-0000-0000-00008C040000}"/>
    <cellStyle name="SAPBEXexcGood1 4" xfId="1119" xr:uid="{00000000-0005-0000-0000-00008D040000}"/>
    <cellStyle name="SAPBEXexcGood1 5" xfId="1120" xr:uid="{00000000-0005-0000-0000-00008E040000}"/>
    <cellStyle name="SAPBEXexcGood1 6" xfId="1121" xr:uid="{00000000-0005-0000-0000-00008F040000}"/>
    <cellStyle name="SAPBEXexcGood1 7" xfId="1122" xr:uid="{00000000-0005-0000-0000-000090040000}"/>
    <cellStyle name="SAPBEXexcGood1 8" xfId="1123" xr:uid="{00000000-0005-0000-0000-000091040000}"/>
    <cellStyle name="SAPBEXexcGood1 9" xfId="1124" xr:uid="{00000000-0005-0000-0000-000092040000}"/>
    <cellStyle name="SAPBEXexcGood1_gxaccion, 68" xfId="1125" xr:uid="{00000000-0005-0000-0000-000093040000}"/>
    <cellStyle name="SAPBEXexcGood2" xfId="1126" xr:uid="{00000000-0005-0000-0000-000094040000}"/>
    <cellStyle name="SAPBEXexcGood2 10" xfId="1127" xr:uid="{00000000-0005-0000-0000-000095040000}"/>
    <cellStyle name="SAPBEXexcGood2 11" xfId="1128" xr:uid="{00000000-0005-0000-0000-000096040000}"/>
    <cellStyle name="SAPBEXexcGood2 2" xfId="1129" xr:uid="{00000000-0005-0000-0000-000097040000}"/>
    <cellStyle name="SAPBEXexcGood2 2 2" xfId="1130" xr:uid="{00000000-0005-0000-0000-000098040000}"/>
    <cellStyle name="SAPBEXexcGood2 2 2 2" xfId="1131" xr:uid="{00000000-0005-0000-0000-000099040000}"/>
    <cellStyle name="SAPBEXexcGood2 3" xfId="1132" xr:uid="{00000000-0005-0000-0000-00009A040000}"/>
    <cellStyle name="SAPBEXexcGood2 4" xfId="1133" xr:uid="{00000000-0005-0000-0000-00009B040000}"/>
    <cellStyle name="SAPBEXexcGood2 5" xfId="1134" xr:uid="{00000000-0005-0000-0000-00009C040000}"/>
    <cellStyle name="SAPBEXexcGood2 6" xfId="1135" xr:uid="{00000000-0005-0000-0000-00009D040000}"/>
    <cellStyle name="SAPBEXexcGood2 7" xfId="1136" xr:uid="{00000000-0005-0000-0000-00009E040000}"/>
    <cellStyle name="SAPBEXexcGood2 8" xfId="1137" xr:uid="{00000000-0005-0000-0000-00009F040000}"/>
    <cellStyle name="SAPBEXexcGood2 9" xfId="1138" xr:uid="{00000000-0005-0000-0000-0000A0040000}"/>
    <cellStyle name="SAPBEXexcGood2_gxaccion, 68" xfId="1139" xr:uid="{00000000-0005-0000-0000-0000A1040000}"/>
    <cellStyle name="SAPBEXexcGood3" xfId="1140" xr:uid="{00000000-0005-0000-0000-0000A2040000}"/>
    <cellStyle name="SAPBEXexcGood3 10" xfId="1141" xr:uid="{00000000-0005-0000-0000-0000A3040000}"/>
    <cellStyle name="SAPBEXexcGood3 11" xfId="1142" xr:uid="{00000000-0005-0000-0000-0000A4040000}"/>
    <cellStyle name="SAPBEXexcGood3 2" xfId="1143" xr:uid="{00000000-0005-0000-0000-0000A5040000}"/>
    <cellStyle name="SAPBEXexcGood3 2 2" xfId="1144" xr:uid="{00000000-0005-0000-0000-0000A6040000}"/>
    <cellStyle name="SAPBEXexcGood3 2 2 2" xfId="1145" xr:uid="{00000000-0005-0000-0000-0000A7040000}"/>
    <cellStyle name="SAPBEXexcGood3 3" xfId="1146" xr:uid="{00000000-0005-0000-0000-0000A8040000}"/>
    <cellStyle name="SAPBEXexcGood3 4" xfId="1147" xr:uid="{00000000-0005-0000-0000-0000A9040000}"/>
    <cellStyle name="SAPBEXexcGood3 5" xfId="1148" xr:uid="{00000000-0005-0000-0000-0000AA040000}"/>
    <cellStyle name="SAPBEXexcGood3 6" xfId="1149" xr:uid="{00000000-0005-0000-0000-0000AB040000}"/>
    <cellStyle name="SAPBEXexcGood3 7" xfId="1150" xr:uid="{00000000-0005-0000-0000-0000AC040000}"/>
    <cellStyle name="SAPBEXexcGood3 8" xfId="1151" xr:uid="{00000000-0005-0000-0000-0000AD040000}"/>
    <cellStyle name="SAPBEXexcGood3 9" xfId="1152" xr:uid="{00000000-0005-0000-0000-0000AE040000}"/>
    <cellStyle name="SAPBEXexcGood3_gxaccion, 68" xfId="1153" xr:uid="{00000000-0005-0000-0000-0000AF040000}"/>
    <cellStyle name="SAPBEXfilterDrill" xfId="1154" xr:uid="{00000000-0005-0000-0000-0000B0040000}"/>
    <cellStyle name="SAPBEXfilterDrill 10" xfId="1155" xr:uid="{00000000-0005-0000-0000-0000B1040000}"/>
    <cellStyle name="SAPBEXfilterDrill 11" xfId="1156" xr:uid="{00000000-0005-0000-0000-0000B2040000}"/>
    <cellStyle name="SAPBEXfilterDrill 2" xfId="1157" xr:uid="{00000000-0005-0000-0000-0000B3040000}"/>
    <cellStyle name="SAPBEXfilterDrill 2 2" xfId="1158" xr:uid="{00000000-0005-0000-0000-0000B4040000}"/>
    <cellStyle name="SAPBEXfilterDrill 2 2 2" xfId="1159" xr:uid="{00000000-0005-0000-0000-0000B5040000}"/>
    <cellStyle name="SAPBEXfilterDrill 3" xfId="1160" xr:uid="{00000000-0005-0000-0000-0000B6040000}"/>
    <cellStyle name="SAPBEXfilterDrill 4" xfId="1161" xr:uid="{00000000-0005-0000-0000-0000B7040000}"/>
    <cellStyle name="SAPBEXfilterDrill 5" xfId="1162" xr:uid="{00000000-0005-0000-0000-0000B8040000}"/>
    <cellStyle name="SAPBEXfilterDrill 6" xfId="1163" xr:uid="{00000000-0005-0000-0000-0000B9040000}"/>
    <cellStyle name="SAPBEXfilterDrill 7" xfId="1164" xr:uid="{00000000-0005-0000-0000-0000BA040000}"/>
    <cellStyle name="SAPBEXfilterDrill 8" xfId="1165" xr:uid="{00000000-0005-0000-0000-0000BB040000}"/>
    <cellStyle name="SAPBEXfilterDrill 9" xfId="1166" xr:uid="{00000000-0005-0000-0000-0000BC040000}"/>
    <cellStyle name="SAPBEXfilterDrill_gxaccion, 68" xfId="1167" xr:uid="{00000000-0005-0000-0000-0000BD040000}"/>
    <cellStyle name="SAPBEXfilterItem" xfId="1168" xr:uid="{00000000-0005-0000-0000-0000BE040000}"/>
    <cellStyle name="SAPBEXfilterItem 10" xfId="1169" xr:uid="{00000000-0005-0000-0000-0000BF040000}"/>
    <cellStyle name="SAPBEXfilterItem 11" xfId="1170" xr:uid="{00000000-0005-0000-0000-0000C0040000}"/>
    <cellStyle name="SAPBEXfilterItem 2" xfId="1171" xr:uid="{00000000-0005-0000-0000-0000C1040000}"/>
    <cellStyle name="SAPBEXfilterItem 2 2" xfId="1172" xr:uid="{00000000-0005-0000-0000-0000C2040000}"/>
    <cellStyle name="SAPBEXfilterItem 2 2 2" xfId="1173" xr:uid="{00000000-0005-0000-0000-0000C3040000}"/>
    <cellStyle name="SAPBEXfilterItem 3" xfId="1174" xr:uid="{00000000-0005-0000-0000-0000C4040000}"/>
    <cellStyle name="SAPBEXfilterItem 4" xfId="1175" xr:uid="{00000000-0005-0000-0000-0000C5040000}"/>
    <cellStyle name="SAPBEXfilterItem 5" xfId="1176" xr:uid="{00000000-0005-0000-0000-0000C6040000}"/>
    <cellStyle name="SAPBEXfilterItem 6" xfId="1177" xr:uid="{00000000-0005-0000-0000-0000C7040000}"/>
    <cellStyle name="SAPBEXfilterItem 7" xfId="1178" xr:uid="{00000000-0005-0000-0000-0000C8040000}"/>
    <cellStyle name="SAPBEXfilterItem 8" xfId="1179" xr:uid="{00000000-0005-0000-0000-0000C9040000}"/>
    <cellStyle name="SAPBEXfilterItem 9" xfId="1180" xr:uid="{00000000-0005-0000-0000-0000CA040000}"/>
    <cellStyle name="SAPBEXfilterText" xfId="1181" xr:uid="{00000000-0005-0000-0000-0000CB040000}"/>
    <cellStyle name="SAPBEXfilterText 10" xfId="1182" xr:uid="{00000000-0005-0000-0000-0000CC040000}"/>
    <cellStyle name="SAPBEXfilterText 11" xfId="1183" xr:uid="{00000000-0005-0000-0000-0000CD040000}"/>
    <cellStyle name="SAPBEXfilterText 2" xfId="1184" xr:uid="{00000000-0005-0000-0000-0000CE040000}"/>
    <cellStyle name="SAPBEXfilterText 2 2" xfId="1185" xr:uid="{00000000-0005-0000-0000-0000CF040000}"/>
    <cellStyle name="SAPBEXfilterText 2 2 2" xfId="1186" xr:uid="{00000000-0005-0000-0000-0000D0040000}"/>
    <cellStyle name="SAPBEXfilterText 3" xfId="1187" xr:uid="{00000000-0005-0000-0000-0000D1040000}"/>
    <cellStyle name="SAPBEXfilterText 4" xfId="1188" xr:uid="{00000000-0005-0000-0000-0000D2040000}"/>
    <cellStyle name="SAPBEXfilterText 5" xfId="1189" xr:uid="{00000000-0005-0000-0000-0000D3040000}"/>
    <cellStyle name="SAPBEXfilterText 6" xfId="1190" xr:uid="{00000000-0005-0000-0000-0000D4040000}"/>
    <cellStyle name="SAPBEXfilterText 7" xfId="1191" xr:uid="{00000000-0005-0000-0000-0000D5040000}"/>
    <cellStyle name="SAPBEXfilterText 8" xfId="1192" xr:uid="{00000000-0005-0000-0000-0000D6040000}"/>
    <cellStyle name="SAPBEXfilterText 9" xfId="1193" xr:uid="{00000000-0005-0000-0000-0000D7040000}"/>
    <cellStyle name="SAPBEXformats" xfId="1194" xr:uid="{00000000-0005-0000-0000-0000D8040000}"/>
    <cellStyle name="SAPBEXformats 10" xfId="1195" xr:uid="{00000000-0005-0000-0000-0000D9040000}"/>
    <cellStyle name="SAPBEXformats 11" xfId="1196" xr:uid="{00000000-0005-0000-0000-0000DA040000}"/>
    <cellStyle name="SAPBEXformats 2" xfId="1197" xr:uid="{00000000-0005-0000-0000-0000DB040000}"/>
    <cellStyle name="SAPBEXformats 2 2" xfId="1198" xr:uid="{00000000-0005-0000-0000-0000DC040000}"/>
    <cellStyle name="SAPBEXformats 2 2 2" xfId="1199" xr:uid="{00000000-0005-0000-0000-0000DD040000}"/>
    <cellStyle name="SAPBEXformats 3" xfId="1200" xr:uid="{00000000-0005-0000-0000-0000DE040000}"/>
    <cellStyle name="SAPBEXformats 4" xfId="1201" xr:uid="{00000000-0005-0000-0000-0000DF040000}"/>
    <cellStyle name="SAPBEXformats 5" xfId="1202" xr:uid="{00000000-0005-0000-0000-0000E0040000}"/>
    <cellStyle name="SAPBEXformats 6" xfId="1203" xr:uid="{00000000-0005-0000-0000-0000E1040000}"/>
    <cellStyle name="SAPBEXformats 7" xfId="1204" xr:uid="{00000000-0005-0000-0000-0000E2040000}"/>
    <cellStyle name="SAPBEXformats 8" xfId="1205" xr:uid="{00000000-0005-0000-0000-0000E3040000}"/>
    <cellStyle name="SAPBEXformats 9" xfId="1206" xr:uid="{00000000-0005-0000-0000-0000E4040000}"/>
    <cellStyle name="SAPBEXformats_gxaccion, 68" xfId="1207" xr:uid="{00000000-0005-0000-0000-0000E5040000}"/>
    <cellStyle name="SAPBEXheaderItem" xfId="1208" xr:uid="{00000000-0005-0000-0000-0000E6040000}"/>
    <cellStyle name="SAPBEXheaderItem 10" xfId="1209" xr:uid="{00000000-0005-0000-0000-0000E7040000}"/>
    <cellStyle name="SAPBEXheaderItem 11" xfId="1210" xr:uid="{00000000-0005-0000-0000-0000E8040000}"/>
    <cellStyle name="SAPBEXheaderItem 2" xfId="1211" xr:uid="{00000000-0005-0000-0000-0000E9040000}"/>
    <cellStyle name="SAPBEXheaderItem 2 2" xfId="1212" xr:uid="{00000000-0005-0000-0000-0000EA040000}"/>
    <cellStyle name="SAPBEXheaderItem 2 2 2" xfId="1213" xr:uid="{00000000-0005-0000-0000-0000EB040000}"/>
    <cellStyle name="SAPBEXheaderItem 3" xfId="1214" xr:uid="{00000000-0005-0000-0000-0000EC040000}"/>
    <cellStyle name="SAPBEXheaderItem 4" xfId="1215" xr:uid="{00000000-0005-0000-0000-0000ED040000}"/>
    <cellStyle name="SAPBEXheaderItem 5" xfId="1216" xr:uid="{00000000-0005-0000-0000-0000EE040000}"/>
    <cellStyle name="SAPBEXheaderItem 6" xfId="1217" xr:uid="{00000000-0005-0000-0000-0000EF040000}"/>
    <cellStyle name="SAPBEXheaderItem 7" xfId="1218" xr:uid="{00000000-0005-0000-0000-0000F0040000}"/>
    <cellStyle name="SAPBEXheaderItem 8" xfId="1219" xr:uid="{00000000-0005-0000-0000-0000F1040000}"/>
    <cellStyle name="SAPBEXheaderItem 9" xfId="1220" xr:uid="{00000000-0005-0000-0000-0000F2040000}"/>
    <cellStyle name="SAPBEXheaderItem_gxaccion, 68" xfId="1221" xr:uid="{00000000-0005-0000-0000-0000F3040000}"/>
    <cellStyle name="SAPBEXheaderText" xfId="1222" xr:uid="{00000000-0005-0000-0000-0000F4040000}"/>
    <cellStyle name="SAPBEXheaderText 10" xfId="1223" xr:uid="{00000000-0005-0000-0000-0000F5040000}"/>
    <cellStyle name="SAPBEXheaderText 11" xfId="1224" xr:uid="{00000000-0005-0000-0000-0000F6040000}"/>
    <cellStyle name="SAPBEXheaderText 2" xfId="1225" xr:uid="{00000000-0005-0000-0000-0000F7040000}"/>
    <cellStyle name="SAPBEXheaderText 2 2" xfId="1226" xr:uid="{00000000-0005-0000-0000-0000F8040000}"/>
    <cellStyle name="SAPBEXheaderText 2 2 2" xfId="1227" xr:uid="{00000000-0005-0000-0000-0000F9040000}"/>
    <cellStyle name="SAPBEXheaderText 3" xfId="1228" xr:uid="{00000000-0005-0000-0000-0000FA040000}"/>
    <cellStyle name="SAPBEXheaderText 4" xfId="1229" xr:uid="{00000000-0005-0000-0000-0000FB040000}"/>
    <cellStyle name="SAPBEXheaderText 5" xfId="1230" xr:uid="{00000000-0005-0000-0000-0000FC040000}"/>
    <cellStyle name="SAPBEXheaderText 6" xfId="1231" xr:uid="{00000000-0005-0000-0000-0000FD040000}"/>
    <cellStyle name="SAPBEXheaderText 7" xfId="1232" xr:uid="{00000000-0005-0000-0000-0000FE040000}"/>
    <cellStyle name="SAPBEXheaderText 8" xfId="1233" xr:uid="{00000000-0005-0000-0000-0000FF040000}"/>
    <cellStyle name="SAPBEXheaderText 9" xfId="1234" xr:uid="{00000000-0005-0000-0000-000000050000}"/>
    <cellStyle name="SAPBEXheaderText_gxaccion, 68" xfId="1235" xr:uid="{00000000-0005-0000-0000-000001050000}"/>
    <cellStyle name="SAPBEXHLevel0" xfId="1236" xr:uid="{00000000-0005-0000-0000-000002050000}"/>
    <cellStyle name="SAPBEXHLevel0 10" xfId="1237" xr:uid="{00000000-0005-0000-0000-000003050000}"/>
    <cellStyle name="SAPBEXHLevel0 11" xfId="1238" xr:uid="{00000000-0005-0000-0000-000004050000}"/>
    <cellStyle name="SAPBEXHLevel0 2" xfId="1239" xr:uid="{00000000-0005-0000-0000-000005050000}"/>
    <cellStyle name="SAPBEXHLevel0 2 2" xfId="1240" xr:uid="{00000000-0005-0000-0000-000006050000}"/>
    <cellStyle name="SAPBEXHLevel0 2 2 2" xfId="1241" xr:uid="{00000000-0005-0000-0000-000007050000}"/>
    <cellStyle name="SAPBEXHLevel0 3" xfId="1242" xr:uid="{00000000-0005-0000-0000-000008050000}"/>
    <cellStyle name="SAPBEXHLevel0 4" xfId="1243" xr:uid="{00000000-0005-0000-0000-000009050000}"/>
    <cellStyle name="SAPBEXHLevel0 5" xfId="1244" xr:uid="{00000000-0005-0000-0000-00000A050000}"/>
    <cellStyle name="SAPBEXHLevel0 6" xfId="1245" xr:uid="{00000000-0005-0000-0000-00000B050000}"/>
    <cellStyle name="SAPBEXHLevel0 7" xfId="1246" xr:uid="{00000000-0005-0000-0000-00000C050000}"/>
    <cellStyle name="SAPBEXHLevel0 8" xfId="1247" xr:uid="{00000000-0005-0000-0000-00000D050000}"/>
    <cellStyle name="SAPBEXHLevel0 9" xfId="1248" xr:uid="{00000000-0005-0000-0000-00000E050000}"/>
    <cellStyle name="SAPBEXHLevel0_gxaccion, 68" xfId="1249" xr:uid="{00000000-0005-0000-0000-00000F050000}"/>
    <cellStyle name="SAPBEXHLevel0X" xfId="1250" xr:uid="{00000000-0005-0000-0000-000010050000}"/>
    <cellStyle name="SAPBEXHLevel0X 10" xfId="1251" xr:uid="{00000000-0005-0000-0000-000011050000}"/>
    <cellStyle name="SAPBEXHLevel0X 11" xfId="1252" xr:uid="{00000000-0005-0000-0000-000012050000}"/>
    <cellStyle name="SAPBEXHLevel0X 2" xfId="1253" xr:uid="{00000000-0005-0000-0000-000013050000}"/>
    <cellStyle name="SAPBEXHLevel0X 2 2" xfId="1254" xr:uid="{00000000-0005-0000-0000-000014050000}"/>
    <cellStyle name="SAPBEXHLevel0X 2 2 2" xfId="1255" xr:uid="{00000000-0005-0000-0000-000015050000}"/>
    <cellStyle name="SAPBEXHLevel0X 3" xfId="1256" xr:uid="{00000000-0005-0000-0000-000016050000}"/>
    <cellStyle name="SAPBEXHLevel0X 4" xfId="1257" xr:uid="{00000000-0005-0000-0000-000017050000}"/>
    <cellStyle name="SAPBEXHLevel0X 5" xfId="1258" xr:uid="{00000000-0005-0000-0000-000018050000}"/>
    <cellStyle name="SAPBEXHLevel0X 6" xfId="1259" xr:uid="{00000000-0005-0000-0000-000019050000}"/>
    <cellStyle name="SAPBEXHLevel0X 7" xfId="1260" xr:uid="{00000000-0005-0000-0000-00001A050000}"/>
    <cellStyle name="SAPBEXHLevel0X 8" xfId="1261" xr:uid="{00000000-0005-0000-0000-00001B050000}"/>
    <cellStyle name="SAPBEXHLevel0X 9" xfId="1262" xr:uid="{00000000-0005-0000-0000-00001C050000}"/>
    <cellStyle name="SAPBEXHLevel0X_gxaccion, 68" xfId="1263" xr:uid="{00000000-0005-0000-0000-00001D050000}"/>
    <cellStyle name="SAPBEXHLevel1" xfId="1264" xr:uid="{00000000-0005-0000-0000-00001E050000}"/>
    <cellStyle name="SAPBEXHLevel1 10" xfId="1265" xr:uid="{00000000-0005-0000-0000-00001F050000}"/>
    <cellStyle name="SAPBEXHLevel1 11" xfId="1266" xr:uid="{00000000-0005-0000-0000-000020050000}"/>
    <cellStyle name="SAPBEXHLevel1 2" xfId="1267" xr:uid="{00000000-0005-0000-0000-000021050000}"/>
    <cellStyle name="SAPBEXHLevel1 2 2" xfId="1268" xr:uid="{00000000-0005-0000-0000-000022050000}"/>
    <cellStyle name="SAPBEXHLevel1 2 2 2" xfId="1269" xr:uid="{00000000-0005-0000-0000-000023050000}"/>
    <cellStyle name="SAPBEXHLevel1 3" xfId="1270" xr:uid="{00000000-0005-0000-0000-000024050000}"/>
    <cellStyle name="SAPBEXHLevel1 4" xfId="1271" xr:uid="{00000000-0005-0000-0000-000025050000}"/>
    <cellStyle name="SAPBEXHLevel1 5" xfId="1272" xr:uid="{00000000-0005-0000-0000-000026050000}"/>
    <cellStyle name="SAPBEXHLevel1 6" xfId="1273" xr:uid="{00000000-0005-0000-0000-000027050000}"/>
    <cellStyle name="SAPBEXHLevel1 7" xfId="1274" xr:uid="{00000000-0005-0000-0000-000028050000}"/>
    <cellStyle name="SAPBEXHLevel1 8" xfId="1275" xr:uid="{00000000-0005-0000-0000-000029050000}"/>
    <cellStyle name="SAPBEXHLevel1 9" xfId="1276" xr:uid="{00000000-0005-0000-0000-00002A050000}"/>
    <cellStyle name="SAPBEXHLevel1_gxaccion, 68" xfId="1277" xr:uid="{00000000-0005-0000-0000-00002B050000}"/>
    <cellStyle name="SAPBEXHLevel1X" xfId="1278" xr:uid="{00000000-0005-0000-0000-00002C050000}"/>
    <cellStyle name="SAPBEXHLevel1X 10" xfId="1279" xr:uid="{00000000-0005-0000-0000-00002D050000}"/>
    <cellStyle name="SAPBEXHLevel1X 11" xfId="1280" xr:uid="{00000000-0005-0000-0000-00002E050000}"/>
    <cellStyle name="SAPBEXHLevel1X 2" xfId="1281" xr:uid="{00000000-0005-0000-0000-00002F050000}"/>
    <cellStyle name="SAPBEXHLevel1X 2 2" xfId="1282" xr:uid="{00000000-0005-0000-0000-000030050000}"/>
    <cellStyle name="SAPBEXHLevel1X 2 2 2" xfId="1283" xr:uid="{00000000-0005-0000-0000-000031050000}"/>
    <cellStyle name="SAPBEXHLevel1X 3" xfId="1284" xr:uid="{00000000-0005-0000-0000-000032050000}"/>
    <cellStyle name="SAPBEXHLevel1X 4" xfId="1285" xr:uid="{00000000-0005-0000-0000-000033050000}"/>
    <cellStyle name="SAPBEXHLevel1X 5" xfId="1286" xr:uid="{00000000-0005-0000-0000-000034050000}"/>
    <cellStyle name="SAPBEXHLevel1X 6" xfId="1287" xr:uid="{00000000-0005-0000-0000-000035050000}"/>
    <cellStyle name="SAPBEXHLevel1X 7" xfId="1288" xr:uid="{00000000-0005-0000-0000-000036050000}"/>
    <cellStyle name="SAPBEXHLevel1X 8" xfId="1289" xr:uid="{00000000-0005-0000-0000-000037050000}"/>
    <cellStyle name="SAPBEXHLevel1X 9" xfId="1290" xr:uid="{00000000-0005-0000-0000-000038050000}"/>
    <cellStyle name="SAPBEXHLevel1X_gxaccion, 68" xfId="1291" xr:uid="{00000000-0005-0000-0000-000039050000}"/>
    <cellStyle name="SAPBEXHLevel2" xfId="1292" xr:uid="{00000000-0005-0000-0000-00003A050000}"/>
    <cellStyle name="SAPBEXHLevel2 10" xfId="1293" xr:uid="{00000000-0005-0000-0000-00003B050000}"/>
    <cellStyle name="SAPBEXHLevel2 11" xfId="1294" xr:uid="{00000000-0005-0000-0000-00003C050000}"/>
    <cellStyle name="SAPBEXHLevel2 2" xfId="1295" xr:uid="{00000000-0005-0000-0000-00003D050000}"/>
    <cellStyle name="SAPBEXHLevel2 2 2" xfId="1296" xr:uid="{00000000-0005-0000-0000-00003E050000}"/>
    <cellStyle name="SAPBEXHLevel2 2 2 2" xfId="1297" xr:uid="{00000000-0005-0000-0000-00003F050000}"/>
    <cellStyle name="SAPBEXHLevel2 3" xfId="1298" xr:uid="{00000000-0005-0000-0000-000040050000}"/>
    <cellStyle name="SAPBEXHLevel2 4" xfId="1299" xr:uid="{00000000-0005-0000-0000-000041050000}"/>
    <cellStyle name="SAPBEXHLevel2 5" xfId="1300" xr:uid="{00000000-0005-0000-0000-000042050000}"/>
    <cellStyle name="SAPBEXHLevel2 6" xfId="1301" xr:uid="{00000000-0005-0000-0000-000043050000}"/>
    <cellStyle name="SAPBEXHLevel2 7" xfId="1302" xr:uid="{00000000-0005-0000-0000-000044050000}"/>
    <cellStyle name="SAPBEXHLevel2 8" xfId="1303" xr:uid="{00000000-0005-0000-0000-000045050000}"/>
    <cellStyle name="SAPBEXHLevel2 9" xfId="1304" xr:uid="{00000000-0005-0000-0000-000046050000}"/>
    <cellStyle name="SAPBEXHLevel2_gxaccion, 68" xfId="1305" xr:uid="{00000000-0005-0000-0000-000047050000}"/>
    <cellStyle name="SAPBEXHLevel2X" xfId="1306" xr:uid="{00000000-0005-0000-0000-000048050000}"/>
    <cellStyle name="SAPBEXHLevel2X 10" xfId="1307" xr:uid="{00000000-0005-0000-0000-000049050000}"/>
    <cellStyle name="SAPBEXHLevel2X 11" xfId="1308" xr:uid="{00000000-0005-0000-0000-00004A050000}"/>
    <cellStyle name="SAPBEXHLevel2X 2" xfId="1309" xr:uid="{00000000-0005-0000-0000-00004B050000}"/>
    <cellStyle name="SAPBEXHLevel2X 2 2" xfId="1310" xr:uid="{00000000-0005-0000-0000-00004C050000}"/>
    <cellStyle name="SAPBEXHLevel2X 2 2 2" xfId="1311" xr:uid="{00000000-0005-0000-0000-00004D050000}"/>
    <cellStyle name="SAPBEXHLevel2X 3" xfId="1312" xr:uid="{00000000-0005-0000-0000-00004E050000}"/>
    <cellStyle name="SAPBEXHLevel2X 4" xfId="1313" xr:uid="{00000000-0005-0000-0000-00004F050000}"/>
    <cellStyle name="SAPBEXHLevel2X 5" xfId="1314" xr:uid="{00000000-0005-0000-0000-000050050000}"/>
    <cellStyle name="SAPBEXHLevel2X 6" xfId="1315" xr:uid="{00000000-0005-0000-0000-000051050000}"/>
    <cellStyle name="SAPBEXHLevel2X 7" xfId="1316" xr:uid="{00000000-0005-0000-0000-000052050000}"/>
    <cellStyle name="SAPBEXHLevel2X 8" xfId="1317" xr:uid="{00000000-0005-0000-0000-000053050000}"/>
    <cellStyle name="SAPBEXHLevel2X 9" xfId="1318" xr:uid="{00000000-0005-0000-0000-000054050000}"/>
    <cellStyle name="SAPBEXHLevel2X_gxaccion, 68" xfId="1319" xr:uid="{00000000-0005-0000-0000-000055050000}"/>
    <cellStyle name="SAPBEXHLevel3" xfId="1320" xr:uid="{00000000-0005-0000-0000-000056050000}"/>
    <cellStyle name="SAPBEXHLevel3 10" xfId="1321" xr:uid="{00000000-0005-0000-0000-000057050000}"/>
    <cellStyle name="SAPBEXHLevel3 11" xfId="1322" xr:uid="{00000000-0005-0000-0000-000058050000}"/>
    <cellStyle name="SAPBEXHLevel3 2" xfId="1323" xr:uid="{00000000-0005-0000-0000-000059050000}"/>
    <cellStyle name="SAPBEXHLevel3 2 2" xfId="1324" xr:uid="{00000000-0005-0000-0000-00005A050000}"/>
    <cellStyle name="SAPBEXHLevel3 2 2 2" xfId="1325" xr:uid="{00000000-0005-0000-0000-00005B050000}"/>
    <cellStyle name="SAPBEXHLevel3 3" xfId="1326" xr:uid="{00000000-0005-0000-0000-00005C050000}"/>
    <cellStyle name="SAPBEXHLevel3 4" xfId="1327" xr:uid="{00000000-0005-0000-0000-00005D050000}"/>
    <cellStyle name="SAPBEXHLevel3 5" xfId="1328" xr:uid="{00000000-0005-0000-0000-00005E050000}"/>
    <cellStyle name="SAPBEXHLevel3 6" xfId="1329" xr:uid="{00000000-0005-0000-0000-00005F050000}"/>
    <cellStyle name="SAPBEXHLevel3 7" xfId="1330" xr:uid="{00000000-0005-0000-0000-000060050000}"/>
    <cellStyle name="SAPBEXHLevel3 8" xfId="1331" xr:uid="{00000000-0005-0000-0000-000061050000}"/>
    <cellStyle name="SAPBEXHLevel3 9" xfId="1332" xr:uid="{00000000-0005-0000-0000-000062050000}"/>
    <cellStyle name="SAPBEXHLevel3_gxaccion, 68" xfId="1333" xr:uid="{00000000-0005-0000-0000-000063050000}"/>
    <cellStyle name="SAPBEXHLevel3X" xfId="1334" xr:uid="{00000000-0005-0000-0000-000064050000}"/>
    <cellStyle name="SAPBEXHLevel3X 10" xfId="1335" xr:uid="{00000000-0005-0000-0000-000065050000}"/>
    <cellStyle name="SAPBEXHLevel3X 11" xfId="1336" xr:uid="{00000000-0005-0000-0000-000066050000}"/>
    <cellStyle name="SAPBEXHLevel3X 2" xfId="1337" xr:uid="{00000000-0005-0000-0000-000067050000}"/>
    <cellStyle name="SAPBEXHLevel3X 2 2" xfId="1338" xr:uid="{00000000-0005-0000-0000-000068050000}"/>
    <cellStyle name="SAPBEXHLevel3X 2 2 2" xfId="1339" xr:uid="{00000000-0005-0000-0000-000069050000}"/>
    <cellStyle name="SAPBEXHLevel3X 3" xfId="1340" xr:uid="{00000000-0005-0000-0000-00006A050000}"/>
    <cellStyle name="SAPBEXHLevel3X 4" xfId="1341" xr:uid="{00000000-0005-0000-0000-00006B050000}"/>
    <cellStyle name="SAPBEXHLevel3X 5" xfId="1342" xr:uid="{00000000-0005-0000-0000-00006C050000}"/>
    <cellStyle name="SAPBEXHLevel3X 6" xfId="1343" xr:uid="{00000000-0005-0000-0000-00006D050000}"/>
    <cellStyle name="SAPBEXHLevel3X 7" xfId="1344" xr:uid="{00000000-0005-0000-0000-00006E050000}"/>
    <cellStyle name="SAPBEXHLevel3X 8" xfId="1345" xr:uid="{00000000-0005-0000-0000-00006F050000}"/>
    <cellStyle name="SAPBEXHLevel3X 9" xfId="1346" xr:uid="{00000000-0005-0000-0000-000070050000}"/>
    <cellStyle name="SAPBEXHLevel3X_gxaccion, 68" xfId="1347" xr:uid="{00000000-0005-0000-0000-000071050000}"/>
    <cellStyle name="SAPBEXinputData" xfId="1348" xr:uid="{00000000-0005-0000-0000-000072050000}"/>
    <cellStyle name="SAPBEXinputData 10" xfId="1349" xr:uid="{00000000-0005-0000-0000-000073050000}"/>
    <cellStyle name="SAPBEXinputData 11" xfId="1350" xr:uid="{00000000-0005-0000-0000-000074050000}"/>
    <cellStyle name="SAPBEXinputData 2" xfId="1351" xr:uid="{00000000-0005-0000-0000-000075050000}"/>
    <cellStyle name="SAPBEXinputData 2 2" xfId="1352" xr:uid="{00000000-0005-0000-0000-000076050000}"/>
    <cellStyle name="SAPBEXinputData 2 2 2" xfId="1353" xr:uid="{00000000-0005-0000-0000-000077050000}"/>
    <cellStyle name="SAPBEXinputData 3" xfId="1354" xr:uid="{00000000-0005-0000-0000-000078050000}"/>
    <cellStyle name="SAPBEXinputData 4" xfId="1355" xr:uid="{00000000-0005-0000-0000-000079050000}"/>
    <cellStyle name="SAPBEXinputData 5" xfId="1356" xr:uid="{00000000-0005-0000-0000-00007A050000}"/>
    <cellStyle name="SAPBEXinputData 6" xfId="1357" xr:uid="{00000000-0005-0000-0000-00007B050000}"/>
    <cellStyle name="SAPBEXinputData 7" xfId="1358" xr:uid="{00000000-0005-0000-0000-00007C050000}"/>
    <cellStyle name="SAPBEXinputData 8" xfId="1359" xr:uid="{00000000-0005-0000-0000-00007D050000}"/>
    <cellStyle name="SAPBEXinputData 9" xfId="1360" xr:uid="{00000000-0005-0000-0000-00007E050000}"/>
    <cellStyle name="SAPBEXinputData_gxaccion, 68" xfId="1361" xr:uid="{00000000-0005-0000-0000-00007F050000}"/>
    <cellStyle name="SAPBEXItemHeader" xfId="1362" xr:uid="{00000000-0005-0000-0000-000080050000}"/>
    <cellStyle name="SAPBEXresData" xfId="1363" xr:uid="{00000000-0005-0000-0000-000081050000}"/>
    <cellStyle name="SAPBEXresData 10" xfId="1364" xr:uid="{00000000-0005-0000-0000-000082050000}"/>
    <cellStyle name="SAPBEXresData 11" xfId="1365" xr:uid="{00000000-0005-0000-0000-000083050000}"/>
    <cellStyle name="SAPBEXresData 2" xfId="1366" xr:uid="{00000000-0005-0000-0000-000084050000}"/>
    <cellStyle name="SAPBEXresData 2 2" xfId="1367" xr:uid="{00000000-0005-0000-0000-000085050000}"/>
    <cellStyle name="SAPBEXresData 2 2 2" xfId="1368" xr:uid="{00000000-0005-0000-0000-000086050000}"/>
    <cellStyle name="SAPBEXresData 3" xfId="1369" xr:uid="{00000000-0005-0000-0000-000087050000}"/>
    <cellStyle name="SAPBEXresData 4" xfId="1370" xr:uid="{00000000-0005-0000-0000-000088050000}"/>
    <cellStyle name="SAPBEXresData 5" xfId="1371" xr:uid="{00000000-0005-0000-0000-000089050000}"/>
    <cellStyle name="SAPBEXresData 6" xfId="1372" xr:uid="{00000000-0005-0000-0000-00008A050000}"/>
    <cellStyle name="SAPBEXresData 7" xfId="1373" xr:uid="{00000000-0005-0000-0000-00008B050000}"/>
    <cellStyle name="SAPBEXresData 8" xfId="1374" xr:uid="{00000000-0005-0000-0000-00008C050000}"/>
    <cellStyle name="SAPBEXresData 9" xfId="1375" xr:uid="{00000000-0005-0000-0000-00008D050000}"/>
    <cellStyle name="SAPBEXresData_valor justo.junio2010" xfId="1376" xr:uid="{00000000-0005-0000-0000-00008E050000}"/>
    <cellStyle name="SAPBEXresDataEmph" xfId="1377" xr:uid="{00000000-0005-0000-0000-00008F050000}"/>
    <cellStyle name="SAPBEXresDataEmph 10" xfId="1378" xr:uid="{00000000-0005-0000-0000-000090050000}"/>
    <cellStyle name="SAPBEXresDataEmph 11" xfId="1379" xr:uid="{00000000-0005-0000-0000-000091050000}"/>
    <cellStyle name="SAPBEXresDataEmph 2" xfId="1380" xr:uid="{00000000-0005-0000-0000-000092050000}"/>
    <cellStyle name="SAPBEXresDataEmph 2 2" xfId="1381" xr:uid="{00000000-0005-0000-0000-000093050000}"/>
    <cellStyle name="SAPBEXresDataEmph 2 2 2" xfId="1382" xr:uid="{00000000-0005-0000-0000-000094050000}"/>
    <cellStyle name="SAPBEXresDataEmph 3" xfId="1383" xr:uid="{00000000-0005-0000-0000-000095050000}"/>
    <cellStyle name="SAPBEXresDataEmph 4" xfId="1384" xr:uid="{00000000-0005-0000-0000-000096050000}"/>
    <cellStyle name="SAPBEXresDataEmph 5" xfId="1385" xr:uid="{00000000-0005-0000-0000-000097050000}"/>
    <cellStyle name="SAPBEXresDataEmph 6" xfId="1386" xr:uid="{00000000-0005-0000-0000-000098050000}"/>
    <cellStyle name="SAPBEXresDataEmph 7" xfId="1387" xr:uid="{00000000-0005-0000-0000-000099050000}"/>
    <cellStyle name="SAPBEXresDataEmph 8" xfId="1388" xr:uid="{00000000-0005-0000-0000-00009A050000}"/>
    <cellStyle name="SAPBEXresDataEmph 9" xfId="1389" xr:uid="{00000000-0005-0000-0000-00009B050000}"/>
    <cellStyle name="SAPBEXresDataEmph_valor justo.junio2010" xfId="1390" xr:uid="{00000000-0005-0000-0000-00009C050000}"/>
    <cellStyle name="SAPBEXresItem" xfId="1391" xr:uid="{00000000-0005-0000-0000-00009D050000}"/>
    <cellStyle name="SAPBEXresItem 10" xfId="1392" xr:uid="{00000000-0005-0000-0000-00009E050000}"/>
    <cellStyle name="SAPBEXresItem 11" xfId="1393" xr:uid="{00000000-0005-0000-0000-00009F050000}"/>
    <cellStyle name="SAPBEXresItem 2" xfId="1394" xr:uid="{00000000-0005-0000-0000-0000A0050000}"/>
    <cellStyle name="SAPBEXresItem 2 2" xfId="1395" xr:uid="{00000000-0005-0000-0000-0000A1050000}"/>
    <cellStyle name="SAPBEXresItem 2 2 2" xfId="1396" xr:uid="{00000000-0005-0000-0000-0000A2050000}"/>
    <cellStyle name="SAPBEXresItem 3" xfId="1397" xr:uid="{00000000-0005-0000-0000-0000A3050000}"/>
    <cellStyle name="SAPBEXresItem 4" xfId="1398" xr:uid="{00000000-0005-0000-0000-0000A4050000}"/>
    <cellStyle name="SAPBEXresItem 5" xfId="1399" xr:uid="{00000000-0005-0000-0000-0000A5050000}"/>
    <cellStyle name="SAPBEXresItem 6" xfId="1400" xr:uid="{00000000-0005-0000-0000-0000A6050000}"/>
    <cellStyle name="SAPBEXresItem 7" xfId="1401" xr:uid="{00000000-0005-0000-0000-0000A7050000}"/>
    <cellStyle name="SAPBEXresItem 8" xfId="1402" xr:uid="{00000000-0005-0000-0000-0000A8050000}"/>
    <cellStyle name="SAPBEXresItem 9" xfId="1403" xr:uid="{00000000-0005-0000-0000-0000A9050000}"/>
    <cellStyle name="SAPBEXresItem_valor justo.junio2010" xfId="1404" xr:uid="{00000000-0005-0000-0000-0000AA050000}"/>
    <cellStyle name="SAPBEXresItemX" xfId="1405" xr:uid="{00000000-0005-0000-0000-0000AB050000}"/>
    <cellStyle name="SAPBEXresItemX 10" xfId="1406" xr:uid="{00000000-0005-0000-0000-0000AC050000}"/>
    <cellStyle name="SAPBEXresItemX 11" xfId="1407" xr:uid="{00000000-0005-0000-0000-0000AD050000}"/>
    <cellStyle name="SAPBEXresItemX 2" xfId="1408" xr:uid="{00000000-0005-0000-0000-0000AE050000}"/>
    <cellStyle name="SAPBEXresItemX 2 2" xfId="1409" xr:uid="{00000000-0005-0000-0000-0000AF050000}"/>
    <cellStyle name="SAPBEXresItemX 2 2 2" xfId="1410" xr:uid="{00000000-0005-0000-0000-0000B0050000}"/>
    <cellStyle name="SAPBEXresItemX 3" xfId="1411" xr:uid="{00000000-0005-0000-0000-0000B1050000}"/>
    <cellStyle name="SAPBEXresItemX 4" xfId="1412" xr:uid="{00000000-0005-0000-0000-0000B2050000}"/>
    <cellStyle name="SAPBEXresItemX 5" xfId="1413" xr:uid="{00000000-0005-0000-0000-0000B3050000}"/>
    <cellStyle name="SAPBEXresItemX 6" xfId="1414" xr:uid="{00000000-0005-0000-0000-0000B4050000}"/>
    <cellStyle name="SAPBEXresItemX 7" xfId="1415" xr:uid="{00000000-0005-0000-0000-0000B5050000}"/>
    <cellStyle name="SAPBEXresItemX 8" xfId="1416" xr:uid="{00000000-0005-0000-0000-0000B6050000}"/>
    <cellStyle name="SAPBEXresItemX 9" xfId="1417" xr:uid="{00000000-0005-0000-0000-0000B7050000}"/>
    <cellStyle name="SAPBEXresItemX_valor justo.junio2010" xfId="1418" xr:uid="{00000000-0005-0000-0000-0000B8050000}"/>
    <cellStyle name="SAPBEXstdData" xfId="1419" xr:uid="{00000000-0005-0000-0000-0000B9050000}"/>
    <cellStyle name="SAPBEXstdData 10" xfId="1420" xr:uid="{00000000-0005-0000-0000-0000BA050000}"/>
    <cellStyle name="SAPBEXstdData 11" xfId="1421" xr:uid="{00000000-0005-0000-0000-0000BB050000}"/>
    <cellStyle name="SAPBEXstdData 2" xfId="1422" xr:uid="{00000000-0005-0000-0000-0000BC050000}"/>
    <cellStyle name="SAPBEXstdData 2 2" xfId="1423" xr:uid="{00000000-0005-0000-0000-0000BD050000}"/>
    <cellStyle name="SAPBEXstdData 2 2 2" xfId="1424" xr:uid="{00000000-0005-0000-0000-0000BE050000}"/>
    <cellStyle name="SAPBEXstdData 3" xfId="1425" xr:uid="{00000000-0005-0000-0000-0000BF050000}"/>
    <cellStyle name="SAPBEXstdData 4" xfId="1426" xr:uid="{00000000-0005-0000-0000-0000C0050000}"/>
    <cellStyle name="SAPBEXstdData 5" xfId="1427" xr:uid="{00000000-0005-0000-0000-0000C1050000}"/>
    <cellStyle name="SAPBEXstdData 6" xfId="1428" xr:uid="{00000000-0005-0000-0000-0000C2050000}"/>
    <cellStyle name="SAPBEXstdData 7" xfId="1429" xr:uid="{00000000-0005-0000-0000-0000C3050000}"/>
    <cellStyle name="SAPBEXstdData 8" xfId="1430" xr:uid="{00000000-0005-0000-0000-0000C4050000}"/>
    <cellStyle name="SAPBEXstdData 9" xfId="1431" xr:uid="{00000000-0005-0000-0000-0000C5050000}"/>
    <cellStyle name="SAPBEXstdData_gxaccion, 68" xfId="1432" xr:uid="{00000000-0005-0000-0000-0000C6050000}"/>
    <cellStyle name="SAPBEXstdDataEmph" xfId="1433" xr:uid="{00000000-0005-0000-0000-0000C7050000}"/>
    <cellStyle name="SAPBEXstdDataEmph 10" xfId="1434" xr:uid="{00000000-0005-0000-0000-0000C8050000}"/>
    <cellStyle name="SAPBEXstdDataEmph 11" xfId="1435" xr:uid="{00000000-0005-0000-0000-0000C9050000}"/>
    <cellStyle name="SAPBEXstdDataEmph 2" xfId="1436" xr:uid="{00000000-0005-0000-0000-0000CA050000}"/>
    <cellStyle name="SAPBEXstdDataEmph 2 2" xfId="1437" xr:uid="{00000000-0005-0000-0000-0000CB050000}"/>
    <cellStyle name="SAPBEXstdDataEmph 2 2 2" xfId="1438" xr:uid="{00000000-0005-0000-0000-0000CC050000}"/>
    <cellStyle name="SAPBEXstdDataEmph 3" xfId="1439" xr:uid="{00000000-0005-0000-0000-0000CD050000}"/>
    <cellStyle name="SAPBEXstdDataEmph 4" xfId="1440" xr:uid="{00000000-0005-0000-0000-0000CE050000}"/>
    <cellStyle name="SAPBEXstdDataEmph 5" xfId="1441" xr:uid="{00000000-0005-0000-0000-0000CF050000}"/>
    <cellStyle name="SAPBEXstdDataEmph 6" xfId="1442" xr:uid="{00000000-0005-0000-0000-0000D0050000}"/>
    <cellStyle name="SAPBEXstdDataEmph 7" xfId="1443" xr:uid="{00000000-0005-0000-0000-0000D1050000}"/>
    <cellStyle name="SAPBEXstdDataEmph 8" xfId="1444" xr:uid="{00000000-0005-0000-0000-0000D2050000}"/>
    <cellStyle name="SAPBEXstdDataEmph 9" xfId="1445" xr:uid="{00000000-0005-0000-0000-0000D3050000}"/>
    <cellStyle name="SAPBEXstdDataEmph_valor justo.junio2010" xfId="1446" xr:uid="{00000000-0005-0000-0000-0000D4050000}"/>
    <cellStyle name="SAPBEXstdItem" xfId="1447" xr:uid="{00000000-0005-0000-0000-0000D5050000}"/>
    <cellStyle name="SAPBEXstdItem 10" xfId="1448" xr:uid="{00000000-0005-0000-0000-0000D6050000}"/>
    <cellStyle name="SAPBEXstdItem 11" xfId="1449" xr:uid="{00000000-0005-0000-0000-0000D7050000}"/>
    <cellStyle name="SAPBEXstdItem 2" xfId="1450" xr:uid="{00000000-0005-0000-0000-0000D8050000}"/>
    <cellStyle name="SAPBEXstdItem 2 2" xfId="1451" xr:uid="{00000000-0005-0000-0000-0000D9050000}"/>
    <cellStyle name="SAPBEXstdItem 2 2 2" xfId="1452" xr:uid="{00000000-0005-0000-0000-0000DA050000}"/>
    <cellStyle name="SAPBEXstdItem 3" xfId="1453" xr:uid="{00000000-0005-0000-0000-0000DB050000}"/>
    <cellStyle name="SAPBEXstdItem 4" xfId="1454" xr:uid="{00000000-0005-0000-0000-0000DC050000}"/>
    <cellStyle name="SAPBEXstdItem 5" xfId="1455" xr:uid="{00000000-0005-0000-0000-0000DD050000}"/>
    <cellStyle name="SAPBEXstdItem 6" xfId="1456" xr:uid="{00000000-0005-0000-0000-0000DE050000}"/>
    <cellStyle name="SAPBEXstdItem 7" xfId="1457" xr:uid="{00000000-0005-0000-0000-0000DF050000}"/>
    <cellStyle name="SAPBEXstdItem 8" xfId="1458" xr:uid="{00000000-0005-0000-0000-0000E0050000}"/>
    <cellStyle name="SAPBEXstdItem 9" xfId="1459" xr:uid="{00000000-0005-0000-0000-0000E1050000}"/>
    <cellStyle name="SAPBEXstdItem_gxaccion, 68" xfId="1460" xr:uid="{00000000-0005-0000-0000-0000E2050000}"/>
    <cellStyle name="SAPBEXstdItemX" xfId="1461" xr:uid="{00000000-0005-0000-0000-0000E3050000}"/>
    <cellStyle name="SAPBEXstdItemX 10" xfId="1462" xr:uid="{00000000-0005-0000-0000-0000E4050000}"/>
    <cellStyle name="SAPBEXstdItemX 11" xfId="1463" xr:uid="{00000000-0005-0000-0000-0000E5050000}"/>
    <cellStyle name="SAPBEXstdItemX 2" xfId="1464" xr:uid="{00000000-0005-0000-0000-0000E6050000}"/>
    <cellStyle name="SAPBEXstdItemX 2 2" xfId="1465" xr:uid="{00000000-0005-0000-0000-0000E7050000}"/>
    <cellStyle name="SAPBEXstdItemX 2 2 2" xfId="1466" xr:uid="{00000000-0005-0000-0000-0000E8050000}"/>
    <cellStyle name="SAPBEXstdItemX 3" xfId="1467" xr:uid="{00000000-0005-0000-0000-0000E9050000}"/>
    <cellStyle name="SAPBEXstdItemX 4" xfId="1468" xr:uid="{00000000-0005-0000-0000-0000EA050000}"/>
    <cellStyle name="SAPBEXstdItemX 5" xfId="1469" xr:uid="{00000000-0005-0000-0000-0000EB050000}"/>
    <cellStyle name="SAPBEXstdItemX 6" xfId="1470" xr:uid="{00000000-0005-0000-0000-0000EC050000}"/>
    <cellStyle name="SAPBEXstdItemX 7" xfId="1471" xr:uid="{00000000-0005-0000-0000-0000ED050000}"/>
    <cellStyle name="SAPBEXstdItemX 8" xfId="1472" xr:uid="{00000000-0005-0000-0000-0000EE050000}"/>
    <cellStyle name="SAPBEXstdItemX 9" xfId="1473" xr:uid="{00000000-0005-0000-0000-0000EF050000}"/>
    <cellStyle name="SAPBEXstdItemX_valor justo.junio2010" xfId="1474" xr:uid="{00000000-0005-0000-0000-0000F0050000}"/>
    <cellStyle name="SAPBEXtitle" xfId="1475" xr:uid="{00000000-0005-0000-0000-0000F1050000}"/>
    <cellStyle name="SAPBEXtitle 10" xfId="1476" xr:uid="{00000000-0005-0000-0000-0000F2050000}"/>
    <cellStyle name="SAPBEXtitle 11" xfId="1477" xr:uid="{00000000-0005-0000-0000-0000F3050000}"/>
    <cellStyle name="SAPBEXtitle 2" xfId="1478" xr:uid="{00000000-0005-0000-0000-0000F4050000}"/>
    <cellStyle name="SAPBEXtitle 2 2" xfId="1479" xr:uid="{00000000-0005-0000-0000-0000F5050000}"/>
    <cellStyle name="SAPBEXtitle 2 2 2" xfId="1480" xr:uid="{00000000-0005-0000-0000-0000F6050000}"/>
    <cellStyle name="SAPBEXtitle 3" xfId="1481" xr:uid="{00000000-0005-0000-0000-0000F7050000}"/>
    <cellStyle name="SAPBEXtitle 4" xfId="1482" xr:uid="{00000000-0005-0000-0000-0000F8050000}"/>
    <cellStyle name="SAPBEXtitle 5" xfId="1483" xr:uid="{00000000-0005-0000-0000-0000F9050000}"/>
    <cellStyle name="SAPBEXtitle 6" xfId="1484" xr:uid="{00000000-0005-0000-0000-0000FA050000}"/>
    <cellStyle name="SAPBEXtitle 7" xfId="1485" xr:uid="{00000000-0005-0000-0000-0000FB050000}"/>
    <cellStyle name="SAPBEXtitle 8" xfId="1486" xr:uid="{00000000-0005-0000-0000-0000FC050000}"/>
    <cellStyle name="SAPBEXtitle 9" xfId="1487" xr:uid="{00000000-0005-0000-0000-0000FD050000}"/>
    <cellStyle name="SAPBEXunassignedItem" xfId="1488" xr:uid="{00000000-0005-0000-0000-0000FE050000}"/>
    <cellStyle name="SAPBEXunassignedItem 2" xfId="1489" xr:uid="{00000000-0005-0000-0000-0000FF050000}"/>
    <cellStyle name="SAPBEXunassignedItem 3" xfId="1490" xr:uid="{00000000-0005-0000-0000-000000060000}"/>
    <cellStyle name="SAPBEXunassignedItem 4" xfId="1491" xr:uid="{00000000-0005-0000-0000-000001060000}"/>
    <cellStyle name="SAPBEXunassignedItem 5" xfId="1492" xr:uid="{00000000-0005-0000-0000-000002060000}"/>
    <cellStyle name="SAPBEXundefined" xfId="1493" xr:uid="{00000000-0005-0000-0000-000003060000}"/>
    <cellStyle name="SAPBEXundefined 10" xfId="1494" xr:uid="{00000000-0005-0000-0000-000004060000}"/>
    <cellStyle name="SAPBEXundefined 11" xfId="1495" xr:uid="{00000000-0005-0000-0000-000005060000}"/>
    <cellStyle name="SAPBEXundefined 2" xfId="1496" xr:uid="{00000000-0005-0000-0000-000006060000}"/>
    <cellStyle name="SAPBEXundefined 2 2" xfId="1497" xr:uid="{00000000-0005-0000-0000-000007060000}"/>
    <cellStyle name="SAPBEXundefined 2 2 2" xfId="1498" xr:uid="{00000000-0005-0000-0000-000008060000}"/>
    <cellStyle name="SAPBEXundefined 3" xfId="1499" xr:uid="{00000000-0005-0000-0000-000009060000}"/>
    <cellStyle name="SAPBEXundefined 4" xfId="1500" xr:uid="{00000000-0005-0000-0000-00000A060000}"/>
    <cellStyle name="SAPBEXundefined 5" xfId="1501" xr:uid="{00000000-0005-0000-0000-00000B060000}"/>
    <cellStyle name="SAPBEXundefined 6" xfId="1502" xr:uid="{00000000-0005-0000-0000-00000C060000}"/>
    <cellStyle name="SAPBEXundefined 7" xfId="1503" xr:uid="{00000000-0005-0000-0000-00000D060000}"/>
    <cellStyle name="SAPBEXundefined 8" xfId="1504" xr:uid="{00000000-0005-0000-0000-00000E060000}"/>
    <cellStyle name="SAPBEXundefined 9" xfId="1505" xr:uid="{00000000-0005-0000-0000-00000F060000}"/>
    <cellStyle name="SAPBEXundefined_valor justo.junio2010" xfId="1506" xr:uid="{00000000-0005-0000-0000-000010060000}"/>
    <cellStyle name="Sheet Title" xfId="1507" xr:uid="{00000000-0005-0000-0000-000011060000}"/>
    <cellStyle name="Suma" xfId="1508" xr:uid="{00000000-0005-0000-0000-000012060000}"/>
    <cellStyle name="Tekst obja?nienia" xfId="1509" xr:uid="{00000000-0005-0000-0000-000013060000}"/>
    <cellStyle name="Tekst objaśnienia" xfId="1510" xr:uid="{00000000-0005-0000-0000-000014060000}"/>
    <cellStyle name="Tekst ostrze?enia" xfId="1511" xr:uid="{00000000-0005-0000-0000-000015060000}"/>
    <cellStyle name="Tekst ostrzeżenia" xfId="1512" xr:uid="{00000000-0005-0000-0000-000016060000}"/>
    <cellStyle name="Texto de advertencia" xfId="1650" builtinId="11" customBuiltin="1"/>
    <cellStyle name="Texto de advertencia 2" xfId="1513" xr:uid="{00000000-0005-0000-0000-000018060000}"/>
    <cellStyle name="Texto de advertencia 2 2" xfId="1514" xr:uid="{00000000-0005-0000-0000-000019060000}"/>
    <cellStyle name="Texto de advertencia 2 3" xfId="1515" xr:uid="{00000000-0005-0000-0000-00001A060000}"/>
    <cellStyle name="Texto de advertencia 2 4" xfId="1516" xr:uid="{00000000-0005-0000-0000-00001B060000}"/>
    <cellStyle name="Texto de advertencia 2 5" xfId="1517" xr:uid="{00000000-0005-0000-0000-00001C060000}"/>
    <cellStyle name="Texto de advertencia 2 6" xfId="1518" xr:uid="{00000000-0005-0000-0000-00001D060000}"/>
    <cellStyle name="Texto de advertencia 3" xfId="1519" xr:uid="{00000000-0005-0000-0000-00001E060000}"/>
    <cellStyle name="Texto de advertencia 3 2" xfId="1520" xr:uid="{00000000-0005-0000-0000-00001F060000}"/>
    <cellStyle name="Texto de advertencia 3 3" xfId="1521" xr:uid="{00000000-0005-0000-0000-000020060000}"/>
    <cellStyle name="Texto de advertencia 3 4" xfId="1522" xr:uid="{00000000-0005-0000-0000-000021060000}"/>
    <cellStyle name="Texto de advertencia 3 5" xfId="1523" xr:uid="{00000000-0005-0000-0000-000022060000}"/>
    <cellStyle name="Texto de advertencia 4" xfId="1524" xr:uid="{00000000-0005-0000-0000-000023060000}"/>
    <cellStyle name="Texto de advertencia 4 2" xfId="1525" xr:uid="{00000000-0005-0000-0000-000024060000}"/>
    <cellStyle name="Texto de advertencia 4 3" xfId="1526" xr:uid="{00000000-0005-0000-0000-000025060000}"/>
    <cellStyle name="Texto de advertencia 4 4" xfId="1527" xr:uid="{00000000-0005-0000-0000-000026060000}"/>
    <cellStyle name="Texto de advertencia 4 5" xfId="1528" xr:uid="{00000000-0005-0000-0000-000027060000}"/>
    <cellStyle name="Texto de advertencia 5" xfId="1529" xr:uid="{00000000-0005-0000-0000-000028060000}"/>
    <cellStyle name="Texto de advertencia 5 2" xfId="1530" xr:uid="{00000000-0005-0000-0000-000029060000}"/>
    <cellStyle name="Texto de advertencia 5 3" xfId="1531" xr:uid="{00000000-0005-0000-0000-00002A060000}"/>
    <cellStyle name="Texto de advertencia 5 4" xfId="1532" xr:uid="{00000000-0005-0000-0000-00002B060000}"/>
    <cellStyle name="Texto de advertencia 5 5" xfId="1533" xr:uid="{00000000-0005-0000-0000-00002C060000}"/>
    <cellStyle name="Texto de advertencia 6" xfId="1534" xr:uid="{00000000-0005-0000-0000-00002D060000}"/>
    <cellStyle name="Texto de advertencia 6 2" xfId="1535" xr:uid="{00000000-0005-0000-0000-00002E060000}"/>
    <cellStyle name="Texto de advertencia 7" xfId="1536" xr:uid="{00000000-0005-0000-0000-00002F060000}"/>
    <cellStyle name="Texto de advertencia 8" xfId="1537" xr:uid="{00000000-0005-0000-0000-000030060000}"/>
    <cellStyle name="Texto de advertencia 9" xfId="1538" xr:uid="{00000000-0005-0000-0000-000031060000}"/>
    <cellStyle name="Texto explicativo 2 2" xfId="1540" xr:uid="{00000000-0005-0000-0000-000033060000}"/>
    <cellStyle name="Title" xfId="1541" xr:uid="{00000000-0005-0000-0000-000034060000}"/>
    <cellStyle name="Título 1 2" xfId="1542" xr:uid="{00000000-0005-0000-0000-000036060000}"/>
    <cellStyle name="Título 1 2 2" xfId="1543" xr:uid="{00000000-0005-0000-0000-000037060000}"/>
    <cellStyle name="Título 1 2 3" xfId="1544" xr:uid="{00000000-0005-0000-0000-000038060000}"/>
    <cellStyle name="Título 1 2 4" xfId="1545" xr:uid="{00000000-0005-0000-0000-000039060000}"/>
    <cellStyle name="Título 1 2 5" xfId="1546" xr:uid="{00000000-0005-0000-0000-00003A060000}"/>
    <cellStyle name="Título 1 2 6" xfId="1547" xr:uid="{00000000-0005-0000-0000-00003B060000}"/>
    <cellStyle name="Título 1 3" xfId="1548" xr:uid="{00000000-0005-0000-0000-00003C060000}"/>
    <cellStyle name="Título 1 3 2" xfId="1549" xr:uid="{00000000-0005-0000-0000-00003D060000}"/>
    <cellStyle name="Título 1 3 3" xfId="1550" xr:uid="{00000000-0005-0000-0000-00003E060000}"/>
    <cellStyle name="Título 1 3 4" xfId="1551" xr:uid="{00000000-0005-0000-0000-00003F060000}"/>
    <cellStyle name="Título 1 3 5" xfId="1552" xr:uid="{00000000-0005-0000-0000-000040060000}"/>
    <cellStyle name="Título 1 4" xfId="1553" xr:uid="{00000000-0005-0000-0000-000041060000}"/>
    <cellStyle name="Título 1 4 2" xfId="1554" xr:uid="{00000000-0005-0000-0000-000042060000}"/>
    <cellStyle name="Título 1 4 3" xfId="1555" xr:uid="{00000000-0005-0000-0000-000043060000}"/>
    <cellStyle name="Título 1 4 4" xfId="1556" xr:uid="{00000000-0005-0000-0000-000044060000}"/>
    <cellStyle name="Título 1 4 5" xfId="1557" xr:uid="{00000000-0005-0000-0000-000045060000}"/>
    <cellStyle name="Título 1 5" xfId="1558" xr:uid="{00000000-0005-0000-0000-000046060000}"/>
    <cellStyle name="Título 1 5 2" xfId="1559" xr:uid="{00000000-0005-0000-0000-000047060000}"/>
    <cellStyle name="Título 1 5 3" xfId="1560" xr:uid="{00000000-0005-0000-0000-000048060000}"/>
    <cellStyle name="Título 1 5 4" xfId="1561" xr:uid="{00000000-0005-0000-0000-000049060000}"/>
    <cellStyle name="Título 1 5 5" xfId="1562" xr:uid="{00000000-0005-0000-0000-00004A060000}"/>
    <cellStyle name="Título 1 6" xfId="1563" xr:uid="{00000000-0005-0000-0000-00004B060000}"/>
    <cellStyle name="Título 1 7" xfId="1564" xr:uid="{00000000-0005-0000-0000-00004C060000}"/>
    <cellStyle name="Título 1 8" xfId="1565" xr:uid="{00000000-0005-0000-0000-00004D060000}"/>
    <cellStyle name="Título 1 9" xfId="1566" xr:uid="{00000000-0005-0000-0000-00004E060000}"/>
    <cellStyle name="Título 2 2" xfId="1568" xr:uid="{00000000-0005-0000-0000-000050060000}"/>
    <cellStyle name="Título 2 2 2" xfId="1569" xr:uid="{00000000-0005-0000-0000-000051060000}"/>
    <cellStyle name="Título 2 2 3" xfId="1570" xr:uid="{00000000-0005-0000-0000-000052060000}"/>
    <cellStyle name="Título 2 2 4" xfId="1571" xr:uid="{00000000-0005-0000-0000-000053060000}"/>
    <cellStyle name="Título 2 2 5" xfId="1572" xr:uid="{00000000-0005-0000-0000-000054060000}"/>
    <cellStyle name="Título 2 2 6" xfId="1573" xr:uid="{00000000-0005-0000-0000-000055060000}"/>
    <cellStyle name="Título 2 3" xfId="1574" xr:uid="{00000000-0005-0000-0000-000056060000}"/>
    <cellStyle name="Título 2 3 2" xfId="1575" xr:uid="{00000000-0005-0000-0000-000057060000}"/>
    <cellStyle name="Título 2 3 3" xfId="1576" xr:uid="{00000000-0005-0000-0000-000058060000}"/>
    <cellStyle name="Título 2 3 4" xfId="1577" xr:uid="{00000000-0005-0000-0000-000059060000}"/>
    <cellStyle name="Título 2 3 5" xfId="1578" xr:uid="{00000000-0005-0000-0000-00005A060000}"/>
    <cellStyle name="Título 2 4" xfId="1579" xr:uid="{00000000-0005-0000-0000-00005B060000}"/>
    <cellStyle name="Título 2 4 2" xfId="1580" xr:uid="{00000000-0005-0000-0000-00005C060000}"/>
    <cellStyle name="Título 2 4 3" xfId="1581" xr:uid="{00000000-0005-0000-0000-00005D060000}"/>
    <cellStyle name="Título 2 4 4" xfId="1582" xr:uid="{00000000-0005-0000-0000-00005E060000}"/>
    <cellStyle name="Título 2 4 5" xfId="1583" xr:uid="{00000000-0005-0000-0000-00005F060000}"/>
    <cellStyle name="Título 2 5" xfId="1584" xr:uid="{00000000-0005-0000-0000-000060060000}"/>
    <cellStyle name="Título 2 5 2" xfId="1585" xr:uid="{00000000-0005-0000-0000-000061060000}"/>
    <cellStyle name="Título 2 5 3" xfId="1586" xr:uid="{00000000-0005-0000-0000-000062060000}"/>
    <cellStyle name="Título 2 5 4" xfId="1587" xr:uid="{00000000-0005-0000-0000-000063060000}"/>
    <cellStyle name="Título 2 5 5" xfId="1588" xr:uid="{00000000-0005-0000-0000-000064060000}"/>
    <cellStyle name="Título 2 6" xfId="1589" xr:uid="{00000000-0005-0000-0000-000065060000}"/>
    <cellStyle name="Título 2 6 2" xfId="1590" xr:uid="{00000000-0005-0000-0000-000066060000}"/>
    <cellStyle name="Título 2 7" xfId="1591" xr:uid="{00000000-0005-0000-0000-000067060000}"/>
    <cellStyle name="Título 2 8" xfId="1592" xr:uid="{00000000-0005-0000-0000-000068060000}"/>
    <cellStyle name="Título 2 9" xfId="1593" xr:uid="{00000000-0005-0000-0000-000069060000}"/>
    <cellStyle name="Título 3 2" xfId="1595" xr:uid="{00000000-0005-0000-0000-00006B060000}"/>
    <cellStyle name="Título 3 2 2" xfId="1596" xr:uid="{00000000-0005-0000-0000-00006C060000}"/>
    <cellStyle name="Título 3 2 3" xfId="1597" xr:uid="{00000000-0005-0000-0000-00006D060000}"/>
    <cellStyle name="Título 3 2 4" xfId="1598" xr:uid="{00000000-0005-0000-0000-00006E060000}"/>
    <cellStyle name="Título 3 2 5" xfId="1599" xr:uid="{00000000-0005-0000-0000-00006F060000}"/>
    <cellStyle name="Título 3 2 6" xfId="1600" xr:uid="{00000000-0005-0000-0000-000070060000}"/>
    <cellStyle name="Título 3 3" xfId="1601" xr:uid="{00000000-0005-0000-0000-000071060000}"/>
    <cellStyle name="Título 3 3 2" xfId="1602" xr:uid="{00000000-0005-0000-0000-000072060000}"/>
    <cellStyle name="Título 3 3 3" xfId="1603" xr:uid="{00000000-0005-0000-0000-000073060000}"/>
    <cellStyle name="Título 3 3 4" xfId="1604" xr:uid="{00000000-0005-0000-0000-000074060000}"/>
    <cellStyle name="Título 3 3 5" xfId="1605" xr:uid="{00000000-0005-0000-0000-000075060000}"/>
    <cellStyle name="Título 3 4" xfId="1606" xr:uid="{00000000-0005-0000-0000-000076060000}"/>
    <cellStyle name="Título 3 4 2" xfId="1607" xr:uid="{00000000-0005-0000-0000-000077060000}"/>
    <cellStyle name="Título 3 4 3" xfId="1608" xr:uid="{00000000-0005-0000-0000-000078060000}"/>
    <cellStyle name="Título 3 4 4" xfId="1609" xr:uid="{00000000-0005-0000-0000-000079060000}"/>
    <cellStyle name="Título 3 4 5" xfId="1610" xr:uid="{00000000-0005-0000-0000-00007A060000}"/>
    <cellStyle name="Título 3 5" xfId="1611" xr:uid="{00000000-0005-0000-0000-00007B060000}"/>
    <cellStyle name="Título 3 5 2" xfId="1612" xr:uid="{00000000-0005-0000-0000-00007C060000}"/>
    <cellStyle name="Título 3 5 3" xfId="1613" xr:uid="{00000000-0005-0000-0000-00007D060000}"/>
    <cellStyle name="Título 3 5 4" xfId="1614" xr:uid="{00000000-0005-0000-0000-00007E060000}"/>
    <cellStyle name="Título 3 5 5" xfId="1615" xr:uid="{00000000-0005-0000-0000-00007F060000}"/>
    <cellStyle name="Título 3 6" xfId="1616" xr:uid="{00000000-0005-0000-0000-000080060000}"/>
    <cellStyle name="Título 3 6 2" xfId="1617" xr:uid="{00000000-0005-0000-0000-000081060000}"/>
    <cellStyle name="Título 3 7" xfId="1618" xr:uid="{00000000-0005-0000-0000-000082060000}"/>
    <cellStyle name="Título 3 8" xfId="1619" xr:uid="{00000000-0005-0000-0000-000083060000}"/>
    <cellStyle name="Título 3 9" xfId="1620" xr:uid="{00000000-0005-0000-0000-000084060000}"/>
    <cellStyle name="Total" xfId="1621" builtinId="25" customBuiltin="1"/>
    <cellStyle name="Total 2" xfId="1622" xr:uid="{00000000-0005-0000-0000-000086060000}"/>
    <cellStyle name="Total 2 2" xfId="1623" xr:uid="{00000000-0005-0000-0000-000087060000}"/>
    <cellStyle name="Total 2 3" xfId="1624" xr:uid="{00000000-0005-0000-0000-000088060000}"/>
    <cellStyle name="Total 2 4" xfId="1625" xr:uid="{00000000-0005-0000-0000-000089060000}"/>
    <cellStyle name="Total 2 5" xfId="1626" xr:uid="{00000000-0005-0000-0000-00008A060000}"/>
    <cellStyle name="Total 2 6" xfId="1627" xr:uid="{00000000-0005-0000-0000-00008B060000}"/>
    <cellStyle name="Total 3" xfId="1628" xr:uid="{00000000-0005-0000-0000-00008C060000}"/>
    <cellStyle name="Total 3 2" xfId="1629" xr:uid="{00000000-0005-0000-0000-00008D060000}"/>
    <cellStyle name="Total 3 3" xfId="1630" xr:uid="{00000000-0005-0000-0000-00008E060000}"/>
    <cellStyle name="Total 3 4" xfId="1631" xr:uid="{00000000-0005-0000-0000-00008F060000}"/>
    <cellStyle name="Total 3 5" xfId="1632" xr:uid="{00000000-0005-0000-0000-000090060000}"/>
    <cellStyle name="Total 4" xfId="1633" xr:uid="{00000000-0005-0000-0000-000091060000}"/>
    <cellStyle name="Total 4 2" xfId="1634" xr:uid="{00000000-0005-0000-0000-000092060000}"/>
    <cellStyle name="Total 4 3" xfId="1635" xr:uid="{00000000-0005-0000-0000-000093060000}"/>
    <cellStyle name="Total 4 4" xfId="1636" xr:uid="{00000000-0005-0000-0000-000094060000}"/>
    <cellStyle name="Total 4 5" xfId="1637" xr:uid="{00000000-0005-0000-0000-000095060000}"/>
    <cellStyle name="Total 5" xfId="1638" xr:uid="{00000000-0005-0000-0000-000096060000}"/>
    <cellStyle name="Total 5 2" xfId="1639" xr:uid="{00000000-0005-0000-0000-000097060000}"/>
    <cellStyle name="Total 5 3" xfId="1640" xr:uid="{00000000-0005-0000-0000-000098060000}"/>
    <cellStyle name="Total 5 4" xfId="1641" xr:uid="{00000000-0005-0000-0000-000099060000}"/>
    <cellStyle name="Total 5 5" xfId="1642" xr:uid="{00000000-0005-0000-0000-00009A060000}"/>
    <cellStyle name="Total 6" xfId="1643" xr:uid="{00000000-0005-0000-0000-00009B060000}"/>
    <cellStyle name="Total 7" xfId="1644" xr:uid="{00000000-0005-0000-0000-00009C060000}"/>
    <cellStyle name="Total 8" xfId="1645" xr:uid="{00000000-0005-0000-0000-00009D060000}"/>
    <cellStyle name="Total 9" xfId="1646" xr:uid="{00000000-0005-0000-0000-00009E060000}"/>
    <cellStyle name="Tytu?" xfId="1647" xr:uid="{00000000-0005-0000-0000-00009F060000}"/>
    <cellStyle name="Tytuł" xfId="1648" xr:uid="{00000000-0005-0000-0000-0000A0060000}"/>
    <cellStyle name="Uwaga" xfId="1649" xr:uid="{00000000-0005-0000-0000-0000A1060000}"/>
    <cellStyle name="Warning Text 2" xfId="1651" xr:uid="{00000000-0005-0000-0000-0000A3060000}"/>
    <cellStyle name="Warning Text 3" xfId="1652" xr:uid="{00000000-0005-0000-0000-0000A4060000}"/>
    <cellStyle name="Warning Text 4" xfId="1653" xr:uid="{00000000-0005-0000-0000-0000A5060000}"/>
    <cellStyle name="Warning Text 5" xfId="1654" xr:uid="{00000000-0005-0000-0000-0000A6060000}"/>
    <cellStyle name="Z?e" xfId="1655" xr:uid="{00000000-0005-0000-0000-0000A7060000}"/>
    <cellStyle name="Złe" xfId="1656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A64B0033-5801-47A4-B4A0-1E9B8E2739A9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C32FD24-9154-411D-B062-6ADF78713A19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211743591978434"/>
                  <c:y val="-9.82363031392729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292710-DA67-49A4-AB34-9A9D4FB2EDE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B536D013-408C-4326-B487-4DBADFACD166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baseline="0"/>
                      <a:t>; 64%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5280348997983459"/>
                  <c:y val="0.254294748589497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981DFA93-2237-478C-BC1F-DE4F988E7E25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192385817542378"/>
                  <c:y val="5.331803996941303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EB9A7C-B10E-4D37-9D05-808EFEDF3171}" type="CATEGORYNAME">
                      <a:rPr lang="en-US" sz="90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sz="900" baseline="0"/>
                      <a:t>; </a:t>
                    </a:r>
                  </a:p>
                  <a:p>
                    <a:pPr>
                      <a:defRPr>
                        <a:solidFill>
                          <a:schemeClr val="tx2"/>
                        </a:solidFill>
                      </a:defRPr>
                    </a:pPr>
                    <a:r>
                      <a:rPr lang="en-US" sz="900" baseline="0"/>
                      <a:t>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0.33523578474458188"/>
                  <c:y val="-2.3337260007853348E-2"/>
                </c:manualLayout>
              </c:layout>
              <c:tx>
                <c:rich>
                  <a:bodyPr/>
                  <a:lstStyle/>
                  <a:p>
                    <a:fld id="{3634453F-5919-40DB-8EC4-6331166C2D9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DDAF45BB-09BA-4140-A9FC-6D87AB0353D9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88700239460698"/>
                      <c:h val="0.304068448136896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Préstamos</c:v>
                </c:pt>
                <c:pt idx="3">
                  <c:v>Forward</c:v>
                </c:pt>
                <c:pt idx="4">
                  <c:v>Lease liabilities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192332046</c:v>
                </c:pt>
                <c:pt idx="1">
                  <c:v>683979516</c:v>
                </c:pt>
                <c:pt idx="2">
                  <c:v>193161801.50299996</c:v>
                </c:pt>
                <c:pt idx="3">
                  <c:v>320893</c:v>
                </c:pt>
                <c:pt idx="4">
                  <c:v>3788902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Préstamos</c:v>
                </c:pt>
                <c:pt idx="3">
                  <c:v>Forward</c:v>
                </c:pt>
                <c:pt idx="4">
                  <c:v>Lease liabilities</c:v>
                </c:pt>
              </c:strCache>
            </c:strRef>
          </c:cat>
          <c:val>
            <c:numRef>
              <c:f>[4]Hoja1!$H$2:$H$4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rates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Fixed; </a:t>
                    </a:r>
                    <a:fld id="{C471B1E4-303D-4398-9C7F-54E2695232C4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  <a:fld id="{6C3DA01C-20B7-49D7-B395-5F44B00EE78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994083164.32104003</c:v>
                </c:pt>
                <c:pt idx="1">
                  <c:v>79179101.388999999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17</xdr:row>
      <xdr:rowOff>180975</xdr:rowOff>
    </xdr:from>
    <xdr:to>
      <xdr:col>5</xdr:col>
      <xdr:colOff>152400</xdr:colOff>
      <xdr:row>30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495301</xdr:colOff>
      <xdr:row>17</xdr:row>
      <xdr:rowOff>171450</xdr:rowOff>
    </xdr:from>
    <xdr:to>
      <xdr:col>10</xdr:col>
      <xdr:colOff>112017</xdr:colOff>
      <xdr:row>30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114000</xdr:colOff>
      <xdr:row>24</xdr:row>
      <xdr:rowOff>142432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1EFD11-0892-4C37-9AF0-7742AF200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85775"/>
          <a:ext cx="2400000" cy="35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8\III%20Trimestre\01%20Informes\01%20Fecu%20AA%203T18%20v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0\IV%20Trimestre\03%20An&#225;lisis%20Razonado\Respaldos\Perfil%20vencimiento%20contable%20%20diciemb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0\IV%20Trimestre\01%20Estados%20Financieros\AA\Word%20y%20cuadros\01%20Fecu%20AA%204T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V%20Trimestre\03%20An&#225;lisis%20Razonado\Tablas%20an&#225;lisis%20razonado%20AA_Dic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0\2.%20Junio%202020\An&#225;lisis%20Razonado\01%20Fecu%20AA%202T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I%20Trimestre\01%20Estados%20Financieros\Word%20y%20Cuadros\01%20Fecu%20AA%203T19%20v-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0\III%20Trimestre\01%20Estados%20Financieros\Word%20y%20Cuadros\01%20Fecu%20AA%203T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%20Trimestre\01%20Fecu%20AA%202T19%20v-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Activo"/>
      <sheetName val="Pasivo"/>
      <sheetName val="Resultado"/>
      <sheetName val="Estado de Resultado"/>
      <sheetName val="Flujo "/>
      <sheetName val="Eº Cambio Patrimonio"/>
      <sheetName val="Nuevos pronunciamientos (2)"/>
      <sheetName val="Subsidiarias"/>
      <sheetName val="N2.2L ME"/>
      <sheetName val="N2.W Reclasificaciones"/>
      <sheetName val="N4 Minoritarios"/>
      <sheetName val="N5 Otros Ing y Gtos"/>
      <sheetName val="N6 EEFF Cons e Ind"/>
      <sheetName val="N7 E y EQ"/>
      <sheetName val="N8 Clase de instrumentos finan"/>
      <sheetName val="AFR, corriente"/>
      <sheetName val="AFR, no corriente"/>
      <sheetName val="Prestamos periodo actual"/>
      <sheetName val="Prestamos periodo anterior"/>
      <sheetName val="Bonos periodo actual"/>
      <sheetName val="Bonos periodo anterior"/>
      <sheetName val="Riesgo de credito"/>
      <sheetName val="Perfil vencimiento"/>
      <sheetName val="Tasa de interes"/>
      <sheetName val="Analisis sensibilizacion"/>
      <sheetName val="Equivalentes al efectivo"/>
      <sheetName val="Acreedores comerciales"/>
      <sheetName val="Acreed Comer x vencim (2)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 (1)"/>
      <sheetName val="N13 Nic 16 PPyE"/>
      <sheetName val="N15 Provisiones"/>
      <sheetName val="N16 Garantias y Rest"/>
      <sheetName val="N17 Ingresos ordinario"/>
      <sheetName val="N18 Arrendamiento Operativo"/>
      <sheetName val="N19 Benef empleados "/>
      <sheetName val="N20 Dif. de cambio"/>
      <sheetName val="N21 Otros gastos"/>
      <sheetName val="RUR"/>
      <sheetName val="N22 Costo Financ"/>
      <sheetName val="N23 I. Renta y Dif"/>
      <sheetName val="N24 Ganancias por acción"/>
      <sheetName val="N25 Segmento"/>
      <sheetName val="N26 Medio ambiente"/>
      <sheetName val="Asistencia Direcorio"/>
      <sheetName val="Asistencia Direcorio (2)"/>
      <sheetName val="Asistencia Direcorio (3)"/>
      <sheetName val="Renovación Directorio"/>
    </sheetNames>
    <sheetDataSet>
      <sheetData sheetId="0"/>
      <sheetData sheetId="1">
        <row r="3">
          <cell r="D3">
            <v>43373</v>
          </cell>
        </row>
      </sheetData>
      <sheetData sheetId="2">
        <row r="6">
          <cell r="D6">
            <v>64302142</v>
          </cell>
        </row>
      </sheetData>
      <sheetData sheetId="3"/>
      <sheetData sheetId="4">
        <row r="3">
          <cell r="D3">
            <v>43373</v>
          </cell>
        </row>
      </sheetData>
      <sheetData sheetId="5">
        <row r="6">
          <cell r="D6">
            <v>481469072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le M$"/>
      <sheetName val="Contable"/>
    </sheetNames>
    <sheetDataSet>
      <sheetData sheetId="0">
        <row r="8">
          <cell r="C8">
            <v>2894289</v>
          </cell>
          <cell r="E8">
            <v>17288184</v>
          </cell>
          <cell r="G8">
            <v>51169685</v>
          </cell>
          <cell r="I8">
            <v>34103965</v>
          </cell>
          <cell r="K8">
            <v>86875923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2020"/>
      <sheetName val="Resultado 2020"/>
      <sheetName val="Resultado 2019"/>
      <sheetName val="Activo"/>
      <sheetName val="Pasivo"/>
      <sheetName val="Resultado"/>
      <sheetName val="Flujo"/>
      <sheetName val="Cambio Patrimonio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EERR"/>
      <sheetName val="N6 CxP EERR"/>
      <sheetName val="N6 Transacciones EERR"/>
      <sheetName val="N6 Directorio y Comité"/>
      <sheetName val="N7 Inventarios"/>
      <sheetName val="N8 Mantenido Venta"/>
      <sheetName val="N10 Intangibles"/>
      <sheetName val="N11 Plusvalía"/>
      <sheetName val="N12 PPE"/>
      <sheetName val="N13 Arrendamiento NIIF16"/>
      <sheetName val="N14 ID e Impto. Renta"/>
      <sheetName val="N15.3 Clases Instrum. Finan."/>
      <sheetName val="N15.4 AFR actual"/>
      <sheetName val="N15.4 Prestamos periodo actual"/>
      <sheetName val="N15.4 Bonos periodo actual"/>
      <sheetName val="N15.4 Conciliación SI y SF"/>
      <sheetName val="N15.5 Valor Justo"/>
      <sheetName val="N16 Acreed. Comerciales"/>
      <sheetName val="N16.1 Acreed. Comerc. por Venc."/>
      <sheetName val="N17 Otras Prov."/>
      <sheetName val="N18 Beneficios Empleados"/>
      <sheetName val="N19 Pas. No Financiero"/>
      <sheetName val="N21 Partic. No Contr."/>
      <sheetName val="N22 Ingresos Ordinarios"/>
      <sheetName val="N23 Otros Gtos. Nat."/>
      <sheetName val="N24 Otros Ingresos y Gtos."/>
      <sheetName val="N25 Efecto Moneda Extran."/>
      <sheetName val="N26 Rdo. Unid. Reajuste"/>
      <sheetName val="N27 Segmentos"/>
      <sheetName val="N28 Ganan. Por Acción"/>
      <sheetName val="Operaciones discontinuadas"/>
      <sheetName val="N29 EEFF Soc. Filiales"/>
      <sheetName val="N31 Garantías y Rest."/>
      <sheetName val="N32 Costos por Int. Capita."/>
      <sheetName val="M33 Medio Ambiente"/>
    </sheetNames>
    <sheetDataSet>
      <sheetData sheetId="0" refreshError="1"/>
      <sheetData sheetId="1" refreshError="1"/>
      <sheetData sheetId="2" refreshError="1"/>
      <sheetData sheetId="3">
        <row r="5">
          <cell r="D5">
            <v>174945586</v>
          </cell>
          <cell r="E5">
            <v>72062758</v>
          </cell>
        </row>
        <row r="6">
          <cell r="D6">
            <v>0</v>
          </cell>
          <cell r="E6">
            <v>0</v>
          </cell>
        </row>
        <row r="7">
          <cell r="D7">
            <v>3803544</v>
          </cell>
          <cell r="E7">
            <v>2453658</v>
          </cell>
        </row>
        <row r="8">
          <cell r="D8">
            <v>87482681</v>
          </cell>
          <cell r="E8">
            <v>115937498</v>
          </cell>
        </row>
        <row r="9">
          <cell r="D9">
            <v>982856</v>
          </cell>
          <cell r="E9">
            <v>25324</v>
          </cell>
        </row>
        <row r="10">
          <cell r="D10">
            <v>3954953</v>
          </cell>
          <cell r="E10">
            <v>3810599</v>
          </cell>
        </row>
        <row r="11">
          <cell r="D11">
            <v>27248856</v>
          </cell>
          <cell r="E11">
            <v>3386809</v>
          </cell>
        </row>
        <row r="13">
          <cell r="D13">
            <v>3836023</v>
          </cell>
          <cell r="E13">
            <v>0</v>
          </cell>
        </row>
        <row r="16">
          <cell r="D16">
            <v>7895863</v>
          </cell>
          <cell r="E16">
            <v>7852912</v>
          </cell>
        </row>
        <row r="17">
          <cell r="D17">
            <v>2396459</v>
          </cell>
          <cell r="E17">
            <v>3037505</v>
          </cell>
        </row>
        <row r="18">
          <cell r="D18">
            <v>4178613</v>
          </cell>
          <cell r="E18">
            <v>4251661</v>
          </cell>
        </row>
        <row r="19">
          <cell r="D19">
            <v>0</v>
          </cell>
          <cell r="E19">
            <v>0</v>
          </cell>
        </row>
        <row r="20">
          <cell r="D20">
            <v>218653890</v>
          </cell>
          <cell r="E20">
            <v>223786740</v>
          </cell>
        </row>
        <row r="21">
          <cell r="D21">
            <v>33823049</v>
          </cell>
          <cell r="E21">
            <v>36233012</v>
          </cell>
        </row>
        <row r="22">
          <cell r="D22">
            <v>1568189347</v>
          </cell>
          <cell r="E22">
            <v>1495658317</v>
          </cell>
        </row>
        <row r="23">
          <cell r="D23">
            <v>3740278</v>
          </cell>
          <cell r="E23">
            <v>3419001</v>
          </cell>
        </row>
        <row r="24">
          <cell r="D24">
            <v>3304490</v>
          </cell>
          <cell r="E24">
            <v>29528508</v>
          </cell>
        </row>
      </sheetData>
      <sheetData sheetId="4">
        <row r="5">
          <cell r="D5">
            <v>71064294</v>
          </cell>
          <cell r="E5">
            <v>36385815</v>
          </cell>
        </row>
        <row r="6">
          <cell r="D6">
            <v>1413425</v>
          </cell>
          <cell r="E6">
            <v>1496533</v>
          </cell>
        </row>
        <row r="7">
          <cell r="D7">
            <v>127493423</v>
          </cell>
          <cell r="E7">
            <v>132451851</v>
          </cell>
        </row>
        <row r="8">
          <cell r="D8">
            <v>17746030</v>
          </cell>
          <cell r="E8">
            <v>41030704</v>
          </cell>
        </row>
        <row r="9">
          <cell r="D9">
            <v>161725</v>
          </cell>
          <cell r="E9">
            <v>3732169</v>
          </cell>
        </row>
        <row r="10">
          <cell r="D10">
            <v>821301</v>
          </cell>
          <cell r="E10">
            <v>1873831</v>
          </cell>
        </row>
        <row r="11">
          <cell r="D11">
            <v>4926436</v>
          </cell>
          <cell r="E11">
            <v>5184148</v>
          </cell>
        </row>
        <row r="12">
          <cell r="D12">
            <v>20405955</v>
          </cell>
          <cell r="E12">
            <v>19982666</v>
          </cell>
        </row>
        <row r="14">
          <cell r="D14">
            <v>0</v>
          </cell>
          <cell r="E14">
            <v>0</v>
          </cell>
        </row>
        <row r="17">
          <cell r="D17">
            <v>998729962</v>
          </cell>
          <cell r="E17">
            <v>1002955393</v>
          </cell>
        </row>
        <row r="18">
          <cell r="D18">
            <v>2375477</v>
          </cell>
          <cell r="E18">
            <v>1942083</v>
          </cell>
        </row>
        <row r="19">
          <cell r="D19">
            <v>1452311</v>
          </cell>
          <cell r="E19">
            <v>1159317</v>
          </cell>
        </row>
        <row r="20">
          <cell r="D20">
            <v>0</v>
          </cell>
          <cell r="E20">
            <v>0</v>
          </cell>
        </row>
        <row r="21">
          <cell r="D21">
            <v>1419880</v>
          </cell>
          <cell r="E21">
            <v>1380132</v>
          </cell>
        </row>
        <row r="22">
          <cell r="D22">
            <v>25153705</v>
          </cell>
          <cell r="E22">
            <v>33595773</v>
          </cell>
        </row>
        <row r="23">
          <cell r="D23">
            <v>20339194</v>
          </cell>
          <cell r="E23">
            <v>20768569</v>
          </cell>
        </row>
        <row r="24">
          <cell r="D24">
            <v>10184563</v>
          </cell>
          <cell r="E24">
            <v>10031855</v>
          </cell>
        </row>
        <row r="29">
          <cell r="D29">
            <v>155567354</v>
          </cell>
          <cell r="E29">
            <v>155567354</v>
          </cell>
        </row>
        <row r="30">
          <cell r="D30">
            <v>364961863</v>
          </cell>
          <cell r="E30">
            <v>330787492</v>
          </cell>
        </row>
        <row r="31">
          <cell r="D31">
            <v>164064038</v>
          </cell>
          <cell r="E31">
            <v>164064038</v>
          </cell>
        </row>
        <row r="32">
          <cell r="D32">
            <v>-5965550</v>
          </cell>
          <cell r="E32">
            <v>-5965550</v>
          </cell>
        </row>
        <row r="33">
          <cell r="D33">
            <v>162095537</v>
          </cell>
          <cell r="E33">
            <v>0</v>
          </cell>
        </row>
        <row r="35">
          <cell r="D35">
            <v>25565</v>
          </cell>
          <cell r="E35">
            <v>43020129</v>
          </cell>
        </row>
      </sheetData>
      <sheetData sheetId="5">
        <row r="4">
          <cell r="D4">
            <v>478773563</v>
          </cell>
          <cell r="E4">
            <v>484329084</v>
          </cell>
        </row>
        <row r="5">
          <cell r="D5">
            <v>-43542356</v>
          </cell>
          <cell r="E5">
            <v>-37518383</v>
          </cell>
        </row>
        <row r="6">
          <cell r="D6">
            <v>-55045719</v>
          </cell>
          <cell r="E6">
            <v>-50638865</v>
          </cell>
        </row>
        <row r="7">
          <cell r="D7">
            <v>-67134809</v>
          </cell>
          <cell r="E7">
            <v>-63951173</v>
          </cell>
        </row>
        <row r="8">
          <cell r="D8">
            <v>-1404946</v>
          </cell>
          <cell r="E8">
            <v>0</v>
          </cell>
        </row>
        <row r="9">
          <cell r="D9">
            <v>-144853561</v>
          </cell>
          <cell r="E9">
            <v>-110865349</v>
          </cell>
        </row>
        <row r="10">
          <cell r="D10">
            <v>-3967292</v>
          </cell>
          <cell r="E10">
            <v>14280922</v>
          </cell>
        </row>
        <row r="12">
          <cell r="D12">
            <v>3868561</v>
          </cell>
          <cell r="E12">
            <v>5223315</v>
          </cell>
        </row>
        <row r="13">
          <cell r="D13">
            <v>-28172393</v>
          </cell>
          <cell r="E13">
            <v>-26752209</v>
          </cell>
        </row>
        <row r="14">
          <cell r="D14">
            <v>-496138</v>
          </cell>
          <cell r="E14">
            <v>-481551</v>
          </cell>
        </row>
        <row r="15">
          <cell r="D15">
            <v>-22343279</v>
          </cell>
          <cell r="E15">
            <v>-21552953</v>
          </cell>
        </row>
        <row r="18">
          <cell r="D18">
            <v>-26987579</v>
          </cell>
          <cell r="E18">
            <v>-49352038</v>
          </cell>
        </row>
        <row r="20">
          <cell r="D20">
            <v>11671443</v>
          </cell>
          <cell r="E20">
            <v>-2970428</v>
          </cell>
        </row>
        <row r="25">
          <cell r="D25">
            <v>1673827</v>
          </cell>
          <cell r="E25">
            <v>-1986816</v>
          </cell>
        </row>
        <row r="28">
          <cell r="D28">
            <v>16.128817210100074</v>
          </cell>
          <cell r="E28">
            <v>23.163588613433809</v>
          </cell>
        </row>
      </sheetData>
      <sheetData sheetId="6">
        <row r="4">
          <cell r="D4">
            <v>544596948</v>
          </cell>
          <cell r="E4">
            <v>574497101</v>
          </cell>
        </row>
        <row r="5">
          <cell r="D5">
            <v>0</v>
          </cell>
          <cell r="E5">
            <v>0</v>
          </cell>
        </row>
        <row r="6">
          <cell r="D6">
            <v>0</v>
          </cell>
          <cell r="E6">
            <v>0</v>
          </cell>
        </row>
        <row r="7">
          <cell r="D7">
            <v>85227</v>
          </cell>
          <cell r="E7">
            <v>18611</v>
          </cell>
        </row>
        <row r="8">
          <cell r="D8">
            <v>12004316</v>
          </cell>
          <cell r="E8">
            <v>4188086</v>
          </cell>
        </row>
        <row r="10">
          <cell r="D10">
            <v>-194753162</v>
          </cell>
          <cell r="E10">
            <v>-187354664</v>
          </cell>
        </row>
        <row r="11">
          <cell r="D11">
            <v>0</v>
          </cell>
          <cell r="E11">
            <v>0</v>
          </cell>
        </row>
        <row r="12">
          <cell r="D12">
            <v>-54474101</v>
          </cell>
          <cell r="E12">
            <v>-51681538</v>
          </cell>
        </row>
        <row r="13">
          <cell r="D13">
            <v>-92656</v>
          </cell>
          <cell r="E13">
            <v>-2572938</v>
          </cell>
        </row>
        <row r="14">
          <cell r="D14">
            <v>-42416053</v>
          </cell>
          <cell r="E14">
            <v>-44324296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-25261603</v>
          </cell>
          <cell r="E18">
            <v>-22015973</v>
          </cell>
        </row>
        <row r="19">
          <cell r="D19">
            <v>804041</v>
          </cell>
          <cell r="E19">
            <v>824207</v>
          </cell>
        </row>
        <row r="20">
          <cell r="D20">
            <v>-47954637</v>
          </cell>
          <cell r="E20">
            <v>-48277458</v>
          </cell>
        </row>
        <row r="21">
          <cell r="D21">
            <v>-7245040</v>
          </cell>
          <cell r="E21">
            <v>-2541669</v>
          </cell>
        </row>
        <row r="23">
          <cell r="D23">
            <v>0</v>
          </cell>
          <cell r="E23">
            <v>0</v>
          </cell>
        </row>
        <row r="25">
          <cell r="D25">
            <v>73499770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547871</v>
          </cell>
          <cell r="E33">
            <v>18206781</v>
          </cell>
        </row>
        <row r="34">
          <cell r="D34">
            <v>-152419211</v>
          </cell>
          <cell r="E34">
            <v>-125868435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-12455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-2020253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11537028</v>
          </cell>
          <cell r="E55">
            <v>79221040</v>
          </cell>
        </row>
        <row r="56">
          <cell r="D56">
            <v>133300000</v>
          </cell>
          <cell r="E56">
            <v>57284683</v>
          </cell>
        </row>
        <row r="58">
          <cell r="D58">
            <v>0</v>
          </cell>
          <cell r="E58">
            <v>0</v>
          </cell>
        </row>
        <row r="59">
          <cell r="D59">
            <v>-41556496</v>
          </cell>
          <cell r="E59">
            <v>-86960055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-106199425</v>
          </cell>
          <cell r="E63">
            <v>-127075487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-1119989</v>
          </cell>
          <cell r="E66">
            <v>-1453004</v>
          </cell>
        </row>
        <row r="67">
          <cell r="D67">
            <v>0</v>
          </cell>
          <cell r="E67">
            <v>0</v>
          </cell>
        </row>
        <row r="76">
          <cell r="D76">
            <v>72062758</v>
          </cell>
          <cell r="E76">
            <v>39980474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1">
          <cell r="C11">
            <v>79179101.388999999</v>
          </cell>
        </row>
        <row r="12">
          <cell r="C12">
            <v>113982700.11400002</v>
          </cell>
        </row>
        <row r="13">
          <cell r="C13">
            <v>683979516.16303992</v>
          </cell>
        </row>
        <row r="14">
          <cell r="C14">
            <v>192332046.04400003</v>
          </cell>
        </row>
        <row r="15">
          <cell r="C15">
            <v>3788902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2">
          <cell r="C32">
            <v>44196</v>
          </cell>
        </row>
        <row r="34">
          <cell r="C34">
            <v>388624</v>
          </cell>
        </row>
        <row r="35">
          <cell r="C35">
            <v>1024801</v>
          </cell>
        </row>
        <row r="37">
          <cell r="C37">
            <v>975297</v>
          </cell>
        </row>
        <row r="38">
          <cell r="C38">
            <v>455073</v>
          </cell>
        </row>
        <row r="39">
          <cell r="C39">
            <v>236458</v>
          </cell>
        </row>
        <row r="40">
          <cell r="C40">
            <v>199015</v>
          </cell>
        </row>
        <row r="41">
          <cell r="C41">
            <v>509634</v>
          </cell>
        </row>
      </sheetData>
      <sheetData sheetId="27" refreshError="1"/>
      <sheetData sheetId="28">
        <row r="22">
          <cell r="E22">
            <v>31994420.012999997</v>
          </cell>
        </row>
        <row r="23">
          <cell r="E23">
            <v>18566508</v>
          </cell>
        </row>
        <row r="24">
          <cell r="E24">
            <v>20182473.332000002</v>
          </cell>
        </row>
        <row r="25">
          <cell r="E25">
            <v>320893</v>
          </cell>
        </row>
        <row r="27">
          <cell r="E27">
            <v>1413425</v>
          </cell>
        </row>
        <row r="39">
          <cell r="E39">
            <v>161167381.49000001</v>
          </cell>
        </row>
        <row r="40">
          <cell r="E40">
            <v>665413008</v>
          </cell>
        </row>
        <row r="41">
          <cell r="E41">
            <v>172149572.71200001</v>
          </cell>
        </row>
        <row r="43">
          <cell r="E43">
            <v>2375477</v>
          </cell>
        </row>
      </sheetData>
      <sheetData sheetId="29" refreshError="1"/>
      <sheetData sheetId="30">
        <row r="27">
          <cell r="N27">
            <v>31994420.012999997</v>
          </cell>
        </row>
        <row r="31">
          <cell r="N31">
            <v>116020353.359</v>
          </cell>
        </row>
        <row r="34">
          <cell r="N34">
            <v>45147028.130999997</v>
          </cell>
        </row>
        <row r="37">
          <cell r="N37">
            <v>0</v>
          </cell>
        </row>
      </sheetData>
      <sheetData sheetId="31">
        <row r="27">
          <cell r="P27">
            <v>18566508</v>
          </cell>
        </row>
        <row r="31">
          <cell r="P31">
            <v>32659116</v>
          </cell>
        </row>
        <row r="35">
          <cell r="P35">
            <v>10874682</v>
          </cell>
        </row>
        <row r="36">
          <cell r="P36">
            <v>5423995</v>
          </cell>
        </row>
        <row r="37">
          <cell r="P37">
            <v>616455215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168513972</v>
          </cell>
        </row>
        <row r="7">
          <cell r="E7">
            <v>1737538127</v>
          </cell>
        </row>
        <row r="10">
          <cell r="E10">
            <v>242318524</v>
          </cell>
        </row>
        <row r="11">
          <cell r="E11">
            <v>976742178</v>
          </cell>
        </row>
        <row r="12">
          <cell r="E12">
            <v>48370742</v>
          </cell>
        </row>
        <row r="13">
          <cell r="E13">
            <v>638620655</v>
          </cell>
        </row>
        <row r="42">
          <cell r="C42">
            <v>14.647399999999999</v>
          </cell>
        </row>
        <row r="43">
          <cell r="C43">
            <v>7.0639000000000003</v>
          </cell>
        </row>
        <row r="50">
          <cell r="J50">
            <v>319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Jun20"/>
      <sheetName val="Balance 2019"/>
      <sheetName val="Resultado Jun20"/>
      <sheetName val="Activo"/>
      <sheetName val="Pasivo"/>
      <sheetName val="Resultado"/>
      <sheetName val="Flujo"/>
      <sheetName val="Cambio Patrimonio"/>
      <sheetName val="N2.1 Nuevos pronunciamientos"/>
      <sheetName val="N2.2 Filiales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EERR"/>
      <sheetName val="N6 CxP EERR"/>
      <sheetName val="N6 Transacciones EERR"/>
      <sheetName val="N6 Directorio y Comité"/>
      <sheetName val="N7 Inventarios"/>
      <sheetName val="N10 Intangibles"/>
      <sheetName val="N11 Plusvalía"/>
      <sheetName val="N12 PPE"/>
      <sheetName val="N13 Arrendamiento NIIF16"/>
      <sheetName val="N14 ID e Impto. Renta"/>
      <sheetName val="N15.3 Clases Instrum. Finan."/>
      <sheetName val="N14.4 AFR"/>
      <sheetName val="N14.4 Préstamos Actual"/>
      <sheetName val="N14.4 Préstamos Anterior"/>
      <sheetName val="N14.4 Bonos Actual"/>
      <sheetName val="N14.4 Bonos Anterior"/>
      <sheetName val="N14.4 Conciliación SI y SF"/>
      <sheetName val="N14.5 Valor Justo"/>
      <sheetName val="N15 Acreed. Comerciales"/>
      <sheetName val="N15.1 Acreed. Comerc. por Venc."/>
      <sheetName val="N16 Otras Prov."/>
      <sheetName val="N17 Beneficios Empleados"/>
      <sheetName val="N18 Pas. No Financiero"/>
      <sheetName val="N20 Partic. No Contr."/>
      <sheetName val="N21 Ingresos Ordinarios"/>
      <sheetName val="N22 Otros Gtos. Nat."/>
      <sheetName val="N23 Otros Ingresos y Gtos."/>
      <sheetName val="N24 Dif. Cambio"/>
      <sheetName val="N25 Rdo. Unid. Reajuste"/>
      <sheetName val="N26 Segmentos"/>
      <sheetName val="N27 Ganan. Por Acción"/>
      <sheetName val="N28 EEFF Soc. Filiales"/>
      <sheetName val="N30 Garantías y Rest."/>
      <sheetName val="N30 Covenants"/>
      <sheetName val="N31 Costos por Int. Capita."/>
      <sheetName val="M32 Medio Ambiente"/>
    </sheetNames>
    <sheetDataSet>
      <sheetData sheetId="0" refreshError="1"/>
      <sheetData sheetId="1" refreshError="1"/>
      <sheetData sheetId="2" refreshError="1"/>
      <sheetData sheetId="3" refreshError="1">
        <row r="2">
          <cell r="D2">
            <v>44012</v>
          </cell>
          <cell r="E2">
            <v>43830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Balance_Dic18"/>
      <sheetName val="Resultado_Sept18"/>
      <sheetName val="Balance_Sept19"/>
      <sheetName val="Resultado_Sept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ota 5.1 Estratificación 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resultado 09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D2">
            <v>43738</v>
          </cell>
        </row>
        <row r="10">
          <cell r="C10">
            <v>7</v>
          </cell>
        </row>
        <row r="13">
          <cell r="C13">
            <v>9</v>
          </cell>
        </row>
        <row r="16">
          <cell r="C16">
            <v>9</v>
          </cell>
        </row>
        <row r="17">
          <cell r="C17"/>
        </row>
        <row r="18">
          <cell r="C18">
            <v>6</v>
          </cell>
        </row>
        <row r="19">
          <cell r="C19">
            <v>10</v>
          </cell>
        </row>
        <row r="20">
          <cell r="C20">
            <v>11</v>
          </cell>
        </row>
        <row r="21">
          <cell r="C21">
            <v>12</v>
          </cell>
        </row>
        <row r="22">
          <cell r="C22">
            <v>14</v>
          </cell>
        </row>
      </sheetData>
      <sheetData sheetId="6">
        <row r="5">
          <cell r="C5">
            <v>15</v>
          </cell>
        </row>
        <row r="6">
          <cell r="C6">
            <v>16</v>
          </cell>
        </row>
        <row r="7">
          <cell r="C7">
            <v>7</v>
          </cell>
        </row>
        <row r="8">
          <cell r="C8">
            <v>17</v>
          </cell>
        </row>
        <row r="9">
          <cell r="C9"/>
        </row>
        <row r="10">
          <cell r="C10">
            <v>18</v>
          </cell>
        </row>
        <row r="11">
          <cell r="C11">
            <v>19</v>
          </cell>
        </row>
        <row r="16">
          <cell r="C16">
            <v>16</v>
          </cell>
        </row>
        <row r="17">
          <cell r="C17">
            <v>17</v>
          </cell>
        </row>
        <row r="18">
          <cell r="C18">
            <v>18</v>
          </cell>
        </row>
        <row r="19">
          <cell r="C19">
            <v>15</v>
          </cell>
        </row>
        <row r="20">
          <cell r="C20">
            <v>19</v>
          </cell>
        </row>
        <row r="21">
          <cell r="C21">
            <v>20</v>
          </cell>
        </row>
        <row r="26">
          <cell r="C26">
            <v>20</v>
          </cell>
        </row>
        <row r="27">
          <cell r="C27">
            <v>20</v>
          </cell>
        </row>
        <row r="28">
          <cell r="C28">
            <v>20</v>
          </cell>
        </row>
        <row r="29">
          <cell r="C29">
            <v>20</v>
          </cell>
        </row>
        <row r="30">
          <cell r="C30"/>
        </row>
        <row r="31">
          <cell r="C31">
            <v>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2">
          <cell r="H2" t="str">
            <v>Etiquetas de fila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ept20"/>
      <sheetName val="Resultado Sept20"/>
      <sheetName val="Balance Dic19"/>
      <sheetName val="Resultado Jun20"/>
      <sheetName val="Resultado Jun19"/>
      <sheetName val="Resultado Sept19"/>
      <sheetName val="Activo"/>
      <sheetName val="Pasivo"/>
      <sheetName val="Resultado"/>
      <sheetName val="Flujo"/>
      <sheetName val="Cambio Patrimonio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EERR"/>
      <sheetName val="N6 CxP EERR"/>
      <sheetName val="N6 Transacciones EERR"/>
      <sheetName val="N6 Directorio y Comité"/>
      <sheetName val="N7 Inventarios"/>
      <sheetName val="N8 Mantenidos para Vta."/>
      <sheetName val="N10 Intangibles"/>
      <sheetName val="N11 Plusvalía"/>
      <sheetName val="N12 PPE"/>
      <sheetName val="N13 Arrendamiento NIIF16"/>
      <sheetName val="N14 ID e Impto. Renta"/>
      <sheetName val="N15.3 Clases Instrum. Finan."/>
      <sheetName val="N15.4 AFR, corriente"/>
      <sheetName val="N15.4 Prestamos periodo actual"/>
      <sheetName val="N15.4 Bonos periodo actual"/>
      <sheetName val="N15.4 Conciliación SI y SF"/>
      <sheetName val="N15.5 Valor Justo"/>
      <sheetName val="N16 Acreed. Comerciales"/>
      <sheetName val="N16.1 Acreed. Comerc. por Venc."/>
      <sheetName val="N17 Otras Prov."/>
      <sheetName val="N18 Beneficios Empleados"/>
      <sheetName val="N19 Pas. No Financiero"/>
      <sheetName val="N21 Partic. No Contr."/>
      <sheetName val="N22 Ingresos Ordinarios"/>
      <sheetName val="N23 Otros Gtos. Nat."/>
      <sheetName val="N24 Otros Ingresos y Gtos."/>
      <sheetName val="N25 Efecto Moneda Extran."/>
      <sheetName val="N26 Rdo. Unid. Reajuste"/>
      <sheetName val="N27 Segmentos"/>
      <sheetName val="N28 Ganan. Por Acción"/>
      <sheetName val="N29 EEFF Soc. Filiales"/>
      <sheetName val="N31 Garantías y Rest."/>
      <sheetName val="N31 Datos Covenants"/>
      <sheetName val="N32 Costos por Int. Capita."/>
      <sheetName val="M33 Medio Ambiente"/>
    </sheetNames>
    <sheetDataSet>
      <sheetData sheetId="0"/>
      <sheetData sheetId="1"/>
      <sheetData sheetId="2">
        <row r="1">
          <cell r="B1" t="str">
            <v>Posición</v>
          </cell>
        </row>
      </sheetData>
      <sheetData sheetId="3">
        <row r="1">
          <cell r="B1" t="str">
            <v>Posición</v>
          </cell>
        </row>
      </sheetData>
      <sheetData sheetId="4">
        <row r="1">
          <cell r="B1" t="str">
            <v>Posición</v>
          </cell>
        </row>
      </sheetData>
      <sheetData sheetId="5"/>
      <sheetData sheetId="6">
        <row r="5">
          <cell r="B5" t="str">
            <v>Efectivo y equivalentes al efectivo</v>
          </cell>
        </row>
      </sheetData>
      <sheetData sheetId="7">
        <row r="5">
          <cell r="B5" t="str">
            <v xml:space="preserve">Otros pasivos financieros </v>
          </cell>
        </row>
      </sheetData>
      <sheetData sheetId="8">
        <row r="4">
          <cell r="D4">
            <v>349052377</v>
          </cell>
          <cell r="F4">
            <v>105371352</v>
          </cell>
          <cell r="G4">
            <v>106306948</v>
          </cell>
        </row>
        <row r="5">
          <cell r="F5">
            <v>-11576215</v>
          </cell>
          <cell r="G5">
            <v>-9260272</v>
          </cell>
        </row>
        <row r="6">
          <cell r="F6">
            <v>-14675516</v>
          </cell>
          <cell r="G6">
            <v>-11672640</v>
          </cell>
        </row>
        <row r="7">
          <cell r="F7">
            <v>-16254350</v>
          </cell>
          <cell r="G7">
            <v>-15724751</v>
          </cell>
        </row>
        <row r="8">
          <cell r="F8">
            <v>-1370426</v>
          </cell>
          <cell r="G8">
            <v>0</v>
          </cell>
        </row>
        <row r="9">
          <cell r="F9">
            <v>-33265586</v>
          </cell>
          <cell r="G9">
            <v>-28766850</v>
          </cell>
        </row>
        <row r="10">
          <cell r="F10">
            <v>-435245</v>
          </cell>
          <cell r="G10">
            <v>-497658</v>
          </cell>
        </row>
        <row r="12">
          <cell r="F12">
            <v>912579</v>
          </cell>
          <cell r="G12">
            <v>1055571</v>
          </cell>
        </row>
        <row r="13">
          <cell r="F13">
            <v>-7740837</v>
          </cell>
          <cell r="G13">
            <v>-6515610</v>
          </cell>
        </row>
        <row r="14">
          <cell r="F14">
            <v>-1860175</v>
          </cell>
          <cell r="G14">
            <v>-19099</v>
          </cell>
        </row>
        <row r="15">
          <cell r="F15">
            <v>-414977</v>
          </cell>
          <cell r="G15">
            <v>-3676132</v>
          </cell>
        </row>
        <row r="18">
          <cell r="F18">
            <v>-5208985</v>
          </cell>
          <cell r="G18">
            <v>-9162732</v>
          </cell>
        </row>
        <row r="20">
          <cell r="F20">
            <v>-101388</v>
          </cell>
          <cell r="G20">
            <v>-5635727</v>
          </cell>
        </row>
        <row r="25">
          <cell r="F25">
            <v>-155330</v>
          </cell>
          <cell r="G25">
            <v>-2905113</v>
          </cell>
        </row>
      </sheetData>
      <sheetData sheetId="9">
        <row r="4">
          <cell r="D4">
            <v>412894069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4">
          <cell r="C34">
            <v>336758.73074407614</v>
          </cell>
        </row>
      </sheetData>
      <sheetData sheetId="30"/>
      <sheetData sheetId="31">
        <row r="9">
          <cell r="F9">
            <v>9230</v>
          </cell>
        </row>
      </sheetData>
      <sheetData sheetId="32"/>
      <sheetData sheetId="33">
        <row r="28">
          <cell r="W28">
            <v>31246556</v>
          </cell>
        </row>
      </sheetData>
      <sheetData sheetId="34">
        <row r="27">
          <cell r="R27">
            <v>20086036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5">
          <cell r="H5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resultado 06"/>
      <sheetName val="Balance_Dic18"/>
      <sheetName val="Resultado_Jun18"/>
      <sheetName val="Balance_Jun19"/>
      <sheetName val="Resultado_Jun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D2">
            <v>43646</v>
          </cell>
        </row>
      </sheetData>
      <sheetData sheetId="7">
        <row r="11">
          <cell r="C11">
            <v>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6">
          <cell r="C16">
            <v>243112</v>
          </cell>
        </row>
      </sheetData>
      <sheetData sheetId="29" refreshError="1"/>
      <sheetData sheetId="30">
        <row r="22">
          <cell r="E22">
            <v>20432837</v>
          </cell>
        </row>
      </sheetData>
      <sheetData sheetId="31" refreshError="1"/>
      <sheetData sheetId="32" refreshError="1"/>
      <sheetData sheetId="33">
        <row r="27">
          <cell r="L27">
            <v>20432837</v>
          </cell>
        </row>
      </sheetData>
      <sheetData sheetId="34" refreshError="1"/>
      <sheetData sheetId="35">
        <row r="27">
          <cell r="R27">
            <v>16163530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0.88671875" defaultRowHeight="13.2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000066"/>
  </sheetPr>
  <dimension ref="A2:I69"/>
  <sheetViews>
    <sheetView showGridLines="0" topLeftCell="A39" zoomScale="90" zoomScaleNormal="90" workbookViewId="0">
      <selection activeCell="E54" sqref="E54"/>
    </sheetView>
  </sheetViews>
  <sheetFormatPr baseColWidth="10" defaultColWidth="11.44140625" defaultRowHeight="13.8"/>
  <cols>
    <col min="1" max="1" width="10.44140625" style="187" bestFit="1" customWidth="1"/>
    <col min="2" max="2" width="56.77734375" style="188" customWidth="1"/>
    <col min="3" max="3" width="7.77734375" style="188" customWidth="1"/>
    <col min="4" max="5" width="14.44140625" style="188" customWidth="1"/>
    <col min="6" max="6" width="8" style="188" customWidth="1"/>
    <col min="7" max="7" width="12.5546875" style="396" bestFit="1" customWidth="1"/>
    <col min="8" max="8" width="11.44140625" style="401"/>
    <col min="9" max="9" width="11.44140625" style="187"/>
    <col min="10" max="10" width="13" style="187" bestFit="1" customWidth="1"/>
    <col min="11" max="16384" width="11.44140625" style="187"/>
  </cols>
  <sheetData>
    <row r="2" spans="1:9" ht="21.75" customHeight="1" thickBot="1"/>
    <row r="3" spans="1:9" s="190" customFormat="1" ht="18" customHeight="1">
      <c r="A3" s="182"/>
      <c r="B3" s="524" t="s">
        <v>91</v>
      </c>
      <c r="C3" s="526" t="s">
        <v>92</v>
      </c>
      <c r="D3" s="96">
        <v>44196</v>
      </c>
      <c r="E3" s="97">
        <f>+[6]Activo!$E$2</f>
        <v>43830</v>
      </c>
      <c r="F3" s="189"/>
      <c r="G3" s="528" t="s">
        <v>196</v>
      </c>
      <c r="H3" s="529"/>
    </row>
    <row r="4" spans="1:9" s="190" customFormat="1" ht="18" customHeight="1">
      <c r="A4" s="191"/>
      <c r="B4" s="525"/>
      <c r="C4" s="527"/>
      <c r="D4" s="98" t="s">
        <v>4</v>
      </c>
      <c r="E4" s="99" t="s">
        <v>4</v>
      </c>
      <c r="F4" s="192"/>
      <c r="G4" s="418" t="s">
        <v>4</v>
      </c>
      <c r="H4" s="419" t="s">
        <v>60</v>
      </c>
    </row>
    <row r="5" spans="1:9" s="190" customFormat="1" ht="21" customHeight="1">
      <c r="A5" s="191"/>
      <c r="B5" s="100" t="s">
        <v>93</v>
      </c>
      <c r="C5" s="101"/>
      <c r="D5" s="102"/>
      <c r="E5" s="103"/>
      <c r="F5" s="193"/>
      <c r="G5" s="397"/>
      <c r="H5" s="420"/>
    </row>
    <row r="6" spans="1:9" s="190" customFormat="1" ht="21" customHeight="1">
      <c r="A6" s="191"/>
      <c r="B6" s="104" t="s">
        <v>94</v>
      </c>
      <c r="C6" s="101">
        <v>4</v>
      </c>
      <c r="D6" s="402">
        <f>+[3]Activo!D5</f>
        <v>174945586</v>
      </c>
      <c r="E6" s="103">
        <f>+[3]Activo!E5</f>
        <v>72062758</v>
      </c>
      <c r="F6" s="194"/>
      <c r="G6" s="397">
        <f>ROUND(+(D6-E6),0)</f>
        <v>102882828</v>
      </c>
      <c r="H6" s="420">
        <f>IFERROR(G6/E6,1)</f>
        <v>1.4276837419961084</v>
      </c>
    </row>
    <row r="7" spans="1:9" s="190" customFormat="1" ht="21" customHeight="1">
      <c r="A7" s="191"/>
      <c r="B7" s="104" t="s">
        <v>202</v>
      </c>
      <c r="D7" s="402">
        <f>+[3]Activo!D6</f>
        <v>0</v>
      </c>
      <c r="E7" s="103">
        <f>+[3]Activo!E6</f>
        <v>0</v>
      </c>
      <c r="F7" s="194"/>
      <c r="G7" s="397">
        <f t="shared" ref="G7:G12" si="0">ROUND(+(D7-E7),0)</f>
        <v>0</v>
      </c>
      <c r="H7" s="420">
        <f t="shared" ref="H7:H54" si="1">IFERROR(G7/E7,1)</f>
        <v>1</v>
      </c>
    </row>
    <row r="8" spans="1:9" s="190" customFormat="1" ht="21" customHeight="1">
      <c r="A8" s="191"/>
      <c r="B8" s="104" t="s">
        <v>95</v>
      </c>
      <c r="C8" s="101">
        <v>8</v>
      </c>
      <c r="D8" s="402">
        <f>+[3]Activo!D7</f>
        <v>3803544</v>
      </c>
      <c r="E8" s="103">
        <f>+[3]Activo!E7</f>
        <v>2453658</v>
      </c>
      <c r="F8" s="194"/>
      <c r="G8" s="397">
        <f t="shared" si="0"/>
        <v>1349886</v>
      </c>
      <c r="H8" s="420">
        <f t="shared" si="1"/>
        <v>0.55015246623612579</v>
      </c>
      <c r="I8" s="400"/>
    </row>
    <row r="9" spans="1:9" s="190" customFormat="1" ht="21" customHeight="1">
      <c r="A9" s="191"/>
      <c r="B9" s="104" t="s">
        <v>96</v>
      </c>
      <c r="C9" s="105">
        <v>5</v>
      </c>
      <c r="D9" s="402">
        <f>+[3]Activo!D8</f>
        <v>87482681</v>
      </c>
      <c r="E9" s="103">
        <f>+[3]Activo!E8</f>
        <v>115937498</v>
      </c>
      <c r="F9" s="194"/>
      <c r="G9" s="397">
        <f t="shared" si="0"/>
        <v>-28454817</v>
      </c>
      <c r="H9" s="420">
        <f t="shared" si="1"/>
        <v>-0.24543238806136733</v>
      </c>
    </row>
    <row r="10" spans="1:9" s="190" customFormat="1" ht="21" customHeight="1">
      <c r="A10" s="191"/>
      <c r="B10" s="104" t="s">
        <v>97</v>
      </c>
      <c r="C10" s="105">
        <v>6</v>
      </c>
      <c r="D10" s="402">
        <f>+[3]Activo!D9</f>
        <v>982856</v>
      </c>
      <c r="E10" s="103">
        <f>+[3]Activo!E9</f>
        <v>25324</v>
      </c>
      <c r="F10" s="194"/>
      <c r="G10" s="397">
        <f t="shared" si="0"/>
        <v>957532</v>
      </c>
      <c r="H10" s="420">
        <f t="shared" si="1"/>
        <v>37.811246248617913</v>
      </c>
    </row>
    <row r="11" spans="1:9" s="190" customFormat="1" ht="21" customHeight="1">
      <c r="A11" s="191"/>
      <c r="B11" s="104" t="s">
        <v>98</v>
      </c>
      <c r="C11" s="105">
        <v>7</v>
      </c>
      <c r="D11" s="402">
        <f>+[3]Activo!D10</f>
        <v>3954953</v>
      </c>
      <c r="E11" s="103">
        <f>+[3]Activo!E10</f>
        <v>3810599</v>
      </c>
      <c r="F11" s="194"/>
      <c r="G11" s="397">
        <f t="shared" si="0"/>
        <v>144354</v>
      </c>
      <c r="H11" s="420">
        <f t="shared" si="1"/>
        <v>3.7882233213203491E-2</v>
      </c>
    </row>
    <row r="12" spans="1:9" s="190" customFormat="1" ht="21" customHeight="1" thickBot="1">
      <c r="A12" s="191"/>
      <c r="B12" s="104" t="s">
        <v>203</v>
      </c>
      <c r="C12" s="105">
        <f>+[7]Activo!C10</f>
        <v>7</v>
      </c>
      <c r="D12" s="402">
        <f>+[3]Activo!D11</f>
        <v>27248856</v>
      </c>
      <c r="E12" s="103">
        <f>+[3]Activo!E11</f>
        <v>3386809</v>
      </c>
      <c r="F12" s="194"/>
      <c r="G12" s="397">
        <f t="shared" si="0"/>
        <v>23862047</v>
      </c>
      <c r="H12" s="420">
        <f t="shared" si="1"/>
        <v>7.0455839109911427</v>
      </c>
    </row>
    <row r="13" spans="1:9" s="190" customFormat="1" ht="36" customHeight="1" thickBot="1">
      <c r="A13" s="191"/>
      <c r="B13" s="106" t="s">
        <v>99</v>
      </c>
      <c r="C13" s="107"/>
      <c r="D13" s="404">
        <f>SUM(D6:D12)</f>
        <v>298418476</v>
      </c>
      <c r="E13" s="405">
        <f>SUM(E6:E12)</f>
        <v>197676646</v>
      </c>
      <c r="F13" s="195"/>
      <c r="G13" s="421">
        <f>ROUND(+(D13-E13),0)</f>
        <v>100741830</v>
      </c>
      <c r="H13" s="422">
        <f t="shared" si="1"/>
        <v>0.50962939749594904</v>
      </c>
    </row>
    <row r="14" spans="1:9" s="190" customFormat="1" ht="21" customHeight="1" thickBot="1">
      <c r="A14" s="191"/>
      <c r="B14" s="104" t="s">
        <v>228</v>
      </c>
      <c r="C14" s="105">
        <f>+[7]Activo!C13</f>
        <v>9</v>
      </c>
      <c r="D14" s="402">
        <f>+[3]Activo!D13</f>
        <v>3836023</v>
      </c>
      <c r="E14" s="103">
        <f>+[3]Activo!E13</f>
        <v>0</v>
      </c>
      <c r="F14" s="194"/>
      <c r="G14" s="397"/>
      <c r="H14" s="420">
        <f t="shared" si="1"/>
        <v>1</v>
      </c>
    </row>
    <row r="15" spans="1:9" s="190" customFormat="1" ht="21" customHeight="1" thickBot="1">
      <c r="B15" s="108" t="s">
        <v>100</v>
      </c>
      <c r="C15" s="107"/>
      <c r="D15" s="406">
        <f>+D13+D14</f>
        <v>302254499</v>
      </c>
      <c r="E15" s="407">
        <f>+E13+E14</f>
        <v>197676646</v>
      </c>
      <c r="F15" s="197"/>
      <c r="G15" s="421">
        <f>ROUND(+(D15-E15),0)</f>
        <v>104577853</v>
      </c>
      <c r="H15" s="422">
        <f t="shared" si="1"/>
        <v>0.52903494224603542</v>
      </c>
    </row>
    <row r="16" spans="1:9" s="190" customFormat="1" ht="21" customHeight="1">
      <c r="B16" s="100" t="s">
        <v>229</v>
      </c>
      <c r="C16" s="109"/>
      <c r="D16" s="408"/>
      <c r="E16" s="409"/>
      <c r="F16" s="195"/>
      <c r="G16" s="397"/>
      <c r="H16" s="420"/>
    </row>
    <row r="17" spans="1:8" s="190" customFormat="1" ht="21" customHeight="1">
      <c r="A17" s="191"/>
      <c r="B17" s="104" t="s">
        <v>202</v>
      </c>
      <c r="C17" s="105">
        <f>+[7]Activo!C16</f>
        <v>9</v>
      </c>
      <c r="D17" s="402">
        <f>+[3]Activo!D16</f>
        <v>7895863</v>
      </c>
      <c r="E17" s="103">
        <f>+[3]Activo!E16</f>
        <v>7852912</v>
      </c>
      <c r="F17" s="194"/>
      <c r="G17" s="397">
        <f t="shared" ref="G17:G26" si="2">ROUND(+(D17-E17),0)</f>
        <v>42951</v>
      </c>
      <c r="H17" s="420">
        <f t="shared" si="1"/>
        <v>5.4694360512380627E-3</v>
      </c>
    </row>
    <row r="18" spans="1:8" s="190" customFormat="1" ht="21" customHeight="1">
      <c r="A18" s="191"/>
      <c r="B18" s="104" t="s">
        <v>95</v>
      </c>
      <c r="C18" s="105">
        <f>+[7]Activo!C17</f>
        <v>0</v>
      </c>
      <c r="D18" s="402">
        <f>+[3]Activo!D17</f>
        <v>2396459</v>
      </c>
      <c r="E18" s="103">
        <f>+[3]Activo!E17</f>
        <v>3037505</v>
      </c>
      <c r="F18" s="194"/>
      <c r="G18" s="397">
        <f t="shared" si="2"/>
        <v>-641046</v>
      </c>
      <c r="H18" s="420">
        <f t="shared" si="1"/>
        <v>-0.21104360322040622</v>
      </c>
    </row>
    <row r="19" spans="1:8" s="190" customFormat="1" ht="21" customHeight="1">
      <c r="A19" s="191"/>
      <c r="B19" s="104" t="s">
        <v>204</v>
      </c>
      <c r="C19" s="105">
        <f>+[7]Activo!C18</f>
        <v>6</v>
      </c>
      <c r="D19" s="402">
        <f>+[3]Activo!D18</f>
        <v>4178613</v>
      </c>
      <c r="E19" s="103">
        <f>+[3]Activo!E18</f>
        <v>4251661</v>
      </c>
      <c r="F19" s="194"/>
      <c r="G19" s="397">
        <f t="shared" si="2"/>
        <v>-73048</v>
      </c>
      <c r="H19" s="420">
        <f t="shared" si="1"/>
        <v>-1.7181049947302948E-2</v>
      </c>
    </row>
    <row r="20" spans="1:8" s="190" customFormat="1" ht="21" hidden="1" customHeight="1">
      <c r="A20" s="191"/>
      <c r="B20" s="104" t="s">
        <v>264</v>
      </c>
      <c r="C20" s="105"/>
      <c r="D20" s="402">
        <f>+[3]Activo!D19</f>
        <v>0</v>
      </c>
      <c r="E20" s="103">
        <f>+[3]Activo!E19</f>
        <v>0</v>
      </c>
      <c r="F20" s="194"/>
      <c r="G20" s="397"/>
      <c r="H20" s="420"/>
    </row>
    <row r="21" spans="1:8" s="190" customFormat="1" ht="21" customHeight="1">
      <c r="A21" s="191"/>
      <c r="B21" s="104" t="s">
        <v>101</v>
      </c>
      <c r="C21" s="105">
        <f>+[7]Activo!C19</f>
        <v>10</v>
      </c>
      <c r="D21" s="402">
        <f>+[3]Activo!D20</f>
        <v>218653890</v>
      </c>
      <c r="E21" s="103">
        <f>+[3]Activo!E20</f>
        <v>223786740</v>
      </c>
      <c r="F21" s="194"/>
      <c r="G21" s="397">
        <f t="shared" si="2"/>
        <v>-5132850</v>
      </c>
      <c r="H21" s="420">
        <f t="shared" si="1"/>
        <v>-2.2936345558275704E-2</v>
      </c>
    </row>
    <row r="22" spans="1:8" s="190" customFormat="1" ht="21" customHeight="1">
      <c r="A22" s="191"/>
      <c r="B22" s="104" t="s">
        <v>102</v>
      </c>
      <c r="C22" s="105">
        <f>+[7]Activo!C20</f>
        <v>11</v>
      </c>
      <c r="D22" s="402">
        <f>+[3]Activo!D21</f>
        <v>33823049</v>
      </c>
      <c r="E22" s="103">
        <f>+[3]Activo!E21</f>
        <v>36233012</v>
      </c>
      <c r="F22" s="194"/>
      <c r="G22" s="397">
        <f t="shared" si="2"/>
        <v>-2409963</v>
      </c>
      <c r="H22" s="420">
        <f t="shared" si="1"/>
        <v>-6.6512908173353077E-2</v>
      </c>
    </row>
    <row r="23" spans="1:8" s="190" customFormat="1" ht="21" customHeight="1">
      <c r="A23" s="191"/>
      <c r="B23" s="104" t="s">
        <v>103</v>
      </c>
      <c r="C23" s="105">
        <f>+[7]Activo!C21</f>
        <v>12</v>
      </c>
      <c r="D23" s="402">
        <f>+[3]Activo!D22</f>
        <v>1568189347</v>
      </c>
      <c r="E23" s="103">
        <f>+[3]Activo!E22</f>
        <v>1495658317</v>
      </c>
      <c r="F23" s="194"/>
      <c r="G23" s="397">
        <f t="shared" si="2"/>
        <v>72531030</v>
      </c>
      <c r="H23" s="420">
        <f t="shared" si="1"/>
        <v>4.8494384830810255E-2</v>
      </c>
    </row>
    <row r="24" spans="1:8" s="190" customFormat="1" ht="21" customHeight="1">
      <c r="A24" s="191"/>
      <c r="B24" s="104" t="s">
        <v>250</v>
      </c>
      <c r="C24" s="105"/>
      <c r="D24" s="402">
        <f>+[3]Activo!D23</f>
        <v>3740278</v>
      </c>
      <c r="E24" s="103">
        <f>+[3]Activo!E23</f>
        <v>3419001</v>
      </c>
      <c r="F24" s="194"/>
      <c r="G24" s="397">
        <f t="shared" ref="G24" si="3">ROUND(+(D24-E24),0)</f>
        <v>321277</v>
      </c>
      <c r="H24" s="420">
        <f t="shared" ref="H24" si="4">IFERROR(G24/E24,1)</f>
        <v>9.3968091849051819E-2</v>
      </c>
    </row>
    <row r="25" spans="1:8" s="190" customFormat="1" ht="21" customHeight="1" thickBot="1">
      <c r="A25" s="191"/>
      <c r="B25" s="104" t="s">
        <v>205</v>
      </c>
      <c r="C25" s="105">
        <f>+[7]Activo!C22</f>
        <v>14</v>
      </c>
      <c r="D25" s="402">
        <f>+[3]Activo!D24</f>
        <v>3304490</v>
      </c>
      <c r="E25" s="103">
        <f>+[3]Activo!E24</f>
        <v>29528508</v>
      </c>
      <c r="F25" s="194"/>
      <c r="G25" s="397">
        <f t="shared" si="2"/>
        <v>-26224018</v>
      </c>
      <c r="H25" s="420">
        <f t="shared" si="1"/>
        <v>-0.88809153513614703</v>
      </c>
    </row>
    <row r="26" spans="1:8" s="190" customFormat="1" ht="21" customHeight="1" thickBot="1">
      <c r="B26" s="110" t="s">
        <v>104</v>
      </c>
      <c r="C26" s="107"/>
      <c r="D26" s="404">
        <f>SUM(D17:D25)</f>
        <v>1842181989</v>
      </c>
      <c r="E26" s="405">
        <f>SUM(E17:E25)</f>
        <v>1803767656</v>
      </c>
      <c r="F26" s="195"/>
      <c r="G26" s="421">
        <f t="shared" si="2"/>
        <v>38414333</v>
      </c>
      <c r="H26" s="422">
        <f t="shared" si="1"/>
        <v>2.1296719049274271E-2</v>
      </c>
    </row>
    <row r="27" spans="1:8" s="191" customFormat="1" ht="11.25" customHeight="1" thickBot="1">
      <c r="A27" s="196"/>
      <c r="B27" s="104"/>
      <c r="C27" s="105"/>
      <c r="D27" s="402"/>
      <c r="E27" s="403"/>
      <c r="F27" s="194"/>
      <c r="G27" s="397"/>
      <c r="H27" s="420"/>
    </row>
    <row r="28" spans="1:8" s="190" customFormat="1" ht="21" customHeight="1" thickBot="1">
      <c r="B28" s="111" t="s">
        <v>206</v>
      </c>
      <c r="C28" s="112"/>
      <c r="D28" s="410">
        <f>+D15+D26</f>
        <v>2144436488</v>
      </c>
      <c r="E28" s="411">
        <f>+E15+E26</f>
        <v>2001444302</v>
      </c>
      <c r="F28" s="195"/>
      <c r="G28" s="421">
        <f>ROUND(+(D28-E28),0)</f>
        <v>142992186</v>
      </c>
      <c r="H28" s="422">
        <f t="shared" si="1"/>
        <v>7.1444499283397994E-2</v>
      </c>
    </row>
    <row r="29" spans="1:8">
      <c r="B29" s="198"/>
      <c r="C29" s="199"/>
      <c r="D29" s="200"/>
      <c r="E29" s="200"/>
      <c r="F29" s="200"/>
      <c r="G29" s="399"/>
      <c r="H29" s="420"/>
    </row>
    <row r="30" spans="1:8" ht="14.4" thickBot="1">
      <c r="B30" s="198"/>
      <c r="C30" s="199"/>
      <c r="D30" s="200"/>
      <c r="E30" s="200"/>
      <c r="F30" s="200"/>
      <c r="G30" s="399"/>
      <c r="H30" s="420"/>
    </row>
    <row r="31" spans="1:8" s="190" customFormat="1" ht="20.25" customHeight="1">
      <c r="A31" s="182"/>
      <c r="B31" s="524" t="s">
        <v>105</v>
      </c>
      <c r="C31" s="526" t="s">
        <v>92</v>
      </c>
      <c r="D31" s="96">
        <f>+D3</f>
        <v>44196</v>
      </c>
      <c r="E31" s="97">
        <f>+E3</f>
        <v>43830</v>
      </c>
      <c r="G31" s="397"/>
      <c r="H31" s="420"/>
    </row>
    <row r="32" spans="1:8" s="190" customFormat="1" ht="18" customHeight="1">
      <c r="A32" s="191"/>
      <c r="B32" s="525"/>
      <c r="C32" s="527"/>
      <c r="D32" s="98" t="s">
        <v>4</v>
      </c>
      <c r="E32" s="99" t="s">
        <v>4</v>
      </c>
      <c r="G32" s="397"/>
      <c r="H32" s="420"/>
    </row>
    <row r="33" spans="1:9" s="190" customFormat="1" ht="18" customHeight="1">
      <c r="A33" s="191"/>
      <c r="B33" s="100" t="s">
        <v>106</v>
      </c>
      <c r="C33" s="113"/>
      <c r="D33" s="102"/>
      <c r="E33" s="103"/>
      <c r="G33" s="397"/>
      <c r="H33" s="420"/>
    </row>
    <row r="34" spans="1:9" s="191" customFormat="1" ht="18" customHeight="1">
      <c r="A34" s="196"/>
      <c r="B34" s="104" t="s">
        <v>192</v>
      </c>
      <c r="C34" s="105">
        <f>+[7]Pasivo!C5</f>
        <v>15</v>
      </c>
      <c r="D34" s="402">
        <f>+[3]Pasivo!D5</f>
        <v>71064294</v>
      </c>
      <c r="E34" s="103">
        <f>+[3]Pasivo!E5</f>
        <v>36385815</v>
      </c>
      <c r="F34" s="190"/>
      <c r="G34" s="397">
        <f t="shared" ref="G34:G42" si="5">ROUND(+(D34-E34),0)</f>
        <v>34678479</v>
      </c>
      <c r="H34" s="420">
        <f t="shared" si="1"/>
        <v>0.95307687899803806</v>
      </c>
    </row>
    <row r="35" spans="1:9" s="191" customFormat="1" ht="18" customHeight="1">
      <c r="A35" s="196"/>
      <c r="B35" s="104" t="s">
        <v>251</v>
      </c>
      <c r="C35" s="105"/>
      <c r="D35" s="402">
        <f>+[3]Pasivo!D6</f>
        <v>1413425</v>
      </c>
      <c r="E35" s="103">
        <f>+[3]Pasivo!E6</f>
        <v>1496533</v>
      </c>
      <c r="F35" s="190"/>
      <c r="G35" s="397">
        <f t="shared" ref="G35" si="6">ROUND(+(D35-E35),0)</f>
        <v>-83108</v>
      </c>
      <c r="H35" s="420">
        <f t="shared" ref="H35" si="7">IFERROR(G35/E35,1)</f>
        <v>-5.5533690202621659E-2</v>
      </c>
    </row>
    <row r="36" spans="1:9" s="191" customFormat="1" ht="18" customHeight="1">
      <c r="A36" s="196"/>
      <c r="B36" s="104" t="s">
        <v>107</v>
      </c>
      <c r="C36" s="105">
        <f>+[7]Pasivo!C6</f>
        <v>16</v>
      </c>
      <c r="D36" s="402">
        <f>+[3]Pasivo!D7</f>
        <v>127493423</v>
      </c>
      <c r="E36" s="103">
        <f>+[3]Pasivo!E7</f>
        <v>132451851</v>
      </c>
      <c r="F36" s="190"/>
      <c r="G36" s="397">
        <f t="shared" si="5"/>
        <v>-4958428</v>
      </c>
      <c r="H36" s="420">
        <f t="shared" si="1"/>
        <v>-3.7435701823449789E-2</v>
      </c>
      <c r="I36" s="190"/>
    </row>
    <row r="37" spans="1:9" s="191" customFormat="1" ht="18" customHeight="1">
      <c r="A37" s="196"/>
      <c r="B37" s="104" t="s">
        <v>108</v>
      </c>
      <c r="C37" s="105">
        <f>+[7]Pasivo!C7</f>
        <v>7</v>
      </c>
      <c r="D37" s="402">
        <f>+[3]Pasivo!D8</f>
        <v>17746030</v>
      </c>
      <c r="E37" s="103">
        <f>+[3]Pasivo!E8</f>
        <v>41030704</v>
      </c>
      <c r="F37" s="190"/>
      <c r="G37" s="397">
        <f t="shared" si="5"/>
        <v>-23284674</v>
      </c>
      <c r="H37" s="420">
        <f t="shared" si="1"/>
        <v>-0.56749389432850095</v>
      </c>
    </row>
    <row r="38" spans="1:9" s="191" customFormat="1" ht="18" customHeight="1">
      <c r="A38" s="196"/>
      <c r="B38" s="104" t="s">
        <v>112</v>
      </c>
      <c r="C38" s="105">
        <f>+[7]Pasivo!C8</f>
        <v>17</v>
      </c>
      <c r="D38" s="402">
        <f>+[3]Pasivo!D9</f>
        <v>161725</v>
      </c>
      <c r="E38" s="103">
        <f>+[3]Pasivo!E9</f>
        <v>3732169</v>
      </c>
      <c r="F38" s="190"/>
      <c r="G38" s="397">
        <f t="shared" si="5"/>
        <v>-3570444</v>
      </c>
      <c r="H38" s="420">
        <f t="shared" si="1"/>
        <v>-0.95666728918224231</v>
      </c>
    </row>
    <row r="39" spans="1:9" s="191" customFormat="1" ht="18" customHeight="1">
      <c r="A39" s="196"/>
      <c r="B39" s="104" t="s">
        <v>109</v>
      </c>
      <c r="C39" s="105">
        <f>+[7]Pasivo!C9</f>
        <v>0</v>
      </c>
      <c r="D39" s="402">
        <f>+[3]Pasivo!D10</f>
        <v>821301</v>
      </c>
      <c r="E39" s="103">
        <f>+[3]Pasivo!E10</f>
        <v>1873831</v>
      </c>
      <c r="F39" s="190"/>
      <c r="G39" s="397">
        <f t="shared" si="5"/>
        <v>-1052530</v>
      </c>
      <c r="H39" s="420">
        <f t="shared" si="1"/>
        <v>-0.56169953426963259</v>
      </c>
    </row>
    <row r="40" spans="1:9" s="191" customFormat="1" ht="18" customHeight="1">
      <c r="A40" s="196"/>
      <c r="B40" s="104" t="s">
        <v>193</v>
      </c>
      <c r="C40" s="105">
        <f>+[7]Pasivo!C10</f>
        <v>18</v>
      </c>
      <c r="D40" s="402">
        <f>+[3]Pasivo!D11</f>
        <v>4926436</v>
      </c>
      <c r="E40" s="103">
        <f>+[3]Pasivo!E11</f>
        <v>5184148</v>
      </c>
      <c r="F40" s="190"/>
      <c r="G40" s="397">
        <f t="shared" si="5"/>
        <v>-257712</v>
      </c>
      <c r="H40" s="420">
        <f t="shared" si="1"/>
        <v>-4.9711543729075637E-2</v>
      </c>
    </row>
    <row r="41" spans="1:9" s="191" customFormat="1" ht="18" customHeight="1" thickBot="1">
      <c r="A41" s="196"/>
      <c r="B41" s="104" t="s">
        <v>194</v>
      </c>
      <c r="C41" s="105">
        <f>+[7]Pasivo!C11</f>
        <v>19</v>
      </c>
      <c r="D41" s="402">
        <f>+[3]Pasivo!D12</f>
        <v>20405955</v>
      </c>
      <c r="E41" s="103">
        <f>+[3]Pasivo!E12</f>
        <v>19982666</v>
      </c>
      <c r="F41" s="190"/>
      <c r="G41" s="397">
        <f t="shared" si="5"/>
        <v>423289</v>
      </c>
      <c r="H41" s="420">
        <f t="shared" si="1"/>
        <v>2.118280914068223E-2</v>
      </c>
    </row>
    <row r="42" spans="1:9" s="190" customFormat="1" ht="42" thickBot="1">
      <c r="A42" s="191"/>
      <c r="B42" s="114" t="s">
        <v>230</v>
      </c>
      <c r="C42" s="107"/>
      <c r="D42" s="404">
        <f>SUM(D34:D41)</f>
        <v>244032589</v>
      </c>
      <c r="E42" s="405">
        <f>SUM(E34:E41)</f>
        <v>242137717</v>
      </c>
      <c r="G42" s="421">
        <f t="shared" si="5"/>
        <v>1894872</v>
      </c>
      <c r="H42" s="422">
        <f t="shared" si="1"/>
        <v>7.8255962081281213E-3</v>
      </c>
    </row>
    <row r="43" spans="1:9" s="191" customFormat="1" ht="21.75" customHeight="1" thickBot="1">
      <c r="A43" s="196"/>
      <c r="B43" s="104" t="s">
        <v>278</v>
      </c>
      <c r="C43" s="105"/>
      <c r="D43" s="402">
        <f>+[3]Pasivo!D14</f>
        <v>0</v>
      </c>
      <c r="E43" s="103">
        <f>+[3]Pasivo!E14</f>
        <v>0</v>
      </c>
      <c r="F43" s="190"/>
      <c r="G43" s="397">
        <f t="shared" ref="G43" si="8">ROUND(+(D43-E43),0)</f>
        <v>0</v>
      </c>
      <c r="H43" s="420">
        <f t="shared" ref="H43" si="9">IFERROR(G43/E43,1)</f>
        <v>1</v>
      </c>
    </row>
    <row r="44" spans="1:9" s="190" customFormat="1" ht="21" customHeight="1" thickBot="1">
      <c r="A44" s="191"/>
      <c r="B44" s="110" t="s">
        <v>110</v>
      </c>
      <c r="C44" s="115"/>
      <c r="D44" s="404">
        <f>+D42+D43</f>
        <v>244032589</v>
      </c>
      <c r="E44" s="405">
        <f>+E42+E43</f>
        <v>242137717</v>
      </c>
      <c r="G44" s="421">
        <f>ROUND(+(D44-E44),0)</f>
        <v>1894872</v>
      </c>
      <c r="H44" s="422">
        <f t="shared" si="1"/>
        <v>7.8255962081281213E-3</v>
      </c>
    </row>
    <row r="45" spans="1:9" s="191" customFormat="1" ht="21" customHeight="1">
      <c r="B45" s="100" t="s">
        <v>111</v>
      </c>
      <c r="C45" s="113"/>
      <c r="D45" s="402"/>
      <c r="E45" s="403"/>
      <c r="F45" s="190"/>
      <c r="G45" s="397"/>
      <c r="H45" s="420"/>
    </row>
    <row r="46" spans="1:9" s="191" customFormat="1" ht="18" customHeight="1">
      <c r="A46" s="196"/>
      <c r="B46" s="104" t="s">
        <v>192</v>
      </c>
      <c r="C46" s="105">
        <f>+[7]Pasivo!C16</f>
        <v>16</v>
      </c>
      <c r="D46" s="402">
        <f>+[3]Pasivo!D17</f>
        <v>998729962</v>
      </c>
      <c r="E46" s="103">
        <f>+[3]Pasivo!E17</f>
        <v>1002955393</v>
      </c>
      <c r="F46" s="190"/>
      <c r="G46" s="397">
        <f t="shared" ref="G46:G54" si="10">ROUND(+(D46-E46),0)</f>
        <v>-4225431</v>
      </c>
      <c r="H46" s="420">
        <f t="shared" si="1"/>
        <v>-4.212979988433045E-3</v>
      </c>
    </row>
    <row r="47" spans="1:9" s="191" customFormat="1" ht="18" customHeight="1">
      <c r="A47" s="196"/>
      <c r="B47" s="104" t="s">
        <v>251</v>
      </c>
      <c r="C47" s="105"/>
      <c r="D47" s="402">
        <f>+[3]Pasivo!D18</f>
        <v>2375477</v>
      </c>
      <c r="E47" s="103">
        <f>+[3]Pasivo!E18</f>
        <v>1942083</v>
      </c>
      <c r="F47" s="190"/>
      <c r="G47" s="397">
        <f t="shared" ref="G47" si="11">ROUND(+(D47-E47),0)</f>
        <v>433394</v>
      </c>
      <c r="H47" s="420">
        <f t="shared" ref="H47" si="12">IFERROR(G47/E47,1)</f>
        <v>0.22315936033629871</v>
      </c>
    </row>
    <row r="48" spans="1:9" s="191" customFormat="1" ht="18" customHeight="1">
      <c r="A48" s="196"/>
      <c r="B48" s="104" t="s">
        <v>114</v>
      </c>
      <c r="C48" s="105">
        <f>+[7]Pasivo!C17</f>
        <v>17</v>
      </c>
      <c r="D48" s="402">
        <f>+[3]Pasivo!D19</f>
        <v>1452311</v>
      </c>
      <c r="E48" s="103">
        <f>+[3]Pasivo!E19</f>
        <v>1159317</v>
      </c>
      <c r="F48" s="190"/>
      <c r="G48" s="397">
        <f t="shared" si="10"/>
        <v>292994</v>
      </c>
      <c r="H48" s="420">
        <f t="shared" si="1"/>
        <v>0.25272984006962718</v>
      </c>
    </row>
    <row r="49" spans="1:8" s="191" customFormat="1" ht="18" hidden="1" customHeight="1">
      <c r="A49" s="196"/>
      <c r="B49" s="104" t="s">
        <v>108</v>
      </c>
      <c r="C49" s="105"/>
      <c r="D49" s="402">
        <f>+[3]Pasivo!D20</f>
        <v>0</v>
      </c>
      <c r="E49" s="103">
        <f>+[3]Pasivo!E20</f>
        <v>0</v>
      </c>
      <c r="F49" s="190"/>
      <c r="G49" s="397">
        <f t="shared" ref="G49" si="13">ROUND(+(D49-E49),0)</f>
        <v>0</v>
      </c>
      <c r="H49" s="420">
        <f t="shared" ref="H49" si="14">IFERROR(G49/E49,1)</f>
        <v>1</v>
      </c>
    </row>
    <row r="50" spans="1:8" s="191" customFormat="1" ht="18" customHeight="1">
      <c r="B50" s="104" t="s">
        <v>112</v>
      </c>
      <c r="C50" s="105">
        <f>+[7]Pasivo!C18</f>
        <v>18</v>
      </c>
      <c r="D50" s="402">
        <f>+[3]Pasivo!D21</f>
        <v>1419880</v>
      </c>
      <c r="E50" s="103">
        <f>+[3]Pasivo!E21</f>
        <v>1380132</v>
      </c>
      <c r="F50" s="190"/>
      <c r="G50" s="397">
        <f t="shared" si="10"/>
        <v>39748</v>
      </c>
      <c r="H50" s="420">
        <f t="shared" si="1"/>
        <v>2.8800143754365525E-2</v>
      </c>
    </row>
    <row r="51" spans="1:8" s="191" customFormat="1" ht="18" customHeight="1">
      <c r="B51" s="104" t="s">
        <v>113</v>
      </c>
      <c r="C51" s="105">
        <f>+[7]Pasivo!C19</f>
        <v>15</v>
      </c>
      <c r="D51" s="402">
        <f>+[3]Pasivo!D22</f>
        <v>25153705</v>
      </c>
      <c r="E51" s="103">
        <f>+[3]Pasivo!E22</f>
        <v>33595773</v>
      </c>
      <c r="F51" s="190"/>
      <c r="G51" s="397">
        <f t="shared" si="10"/>
        <v>-8442068</v>
      </c>
      <c r="H51" s="420">
        <f t="shared" si="1"/>
        <v>-0.25128363618839789</v>
      </c>
    </row>
    <row r="52" spans="1:8" s="191" customFormat="1" ht="18" customHeight="1">
      <c r="B52" s="104" t="s">
        <v>193</v>
      </c>
      <c r="C52" s="105">
        <f>+[7]Pasivo!C20</f>
        <v>19</v>
      </c>
      <c r="D52" s="402">
        <f>+[3]Pasivo!D23</f>
        <v>20339194</v>
      </c>
      <c r="E52" s="103">
        <f>+[3]Pasivo!E23</f>
        <v>20768569</v>
      </c>
      <c r="F52" s="190"/>
      <c r="G52" s="397">
        <f t="shared" si="10"/>
        <v>-429375</v>
      </c>
      <c r="H52" s="420">
        <f t="shared" si="1"/>
        <v>-2.0674269854605774E-2</v>
      </c>
    </row>
    <row r="53" spans="1:8" s="191" customFormat="1" ht="18" customHeight="1" thickBot="1">
      <c r="B53" s="104" t="s">
        <v>194</v>
      </c>
      <c r="C53" s="105">
        <f>+[7]Pasivo!C21</f>
        <v>20</v>
      </c>
      <c r="D53" s="402">
        <f>+[3]Pasivo!D24</f>
        <v>10184563</v>
      </c>
      <c r="E53" s="103">
        <f>+[3]Pasivo!E24</f>
        <v>10031855</v>
      </c>
      <c r="F53" s="190"/>
      <c r="G53" s="397">
        <f t="shared" si="10"/>
        <v>152708</v>
      </c>
      <c r="H53" s="420">
        <f t="shared" si="1"/>
        <v>1.522230933361776E-2</v>
      </c>
    </row>
    <row r="54" spans="1:8" s="191" customFormat="1" ht="21" customHeight="1" thickBot="1">
      <c r="B54" s="110" t="s">
        <v>207</v>
      </c>
      <c r="C54" s="115"/>
      <c r="D54" s="404">
        <f>SUM(D46:D53)</f>
        <v>1059655092</v>
      </c>
      <c r="E54" s="405">
        <f>SUM(E46:E53)</f>
        <v>1071833122</v>
      </c>
      <c r="F54" s="190"/>
      <c r="G54" s="421">
        <f t="shared" si="10"/>
        <v>-12178030</v>
      </c>
      <c r="H54" s="422">
        <f t="shared" si="1"/>
        <v>-1.1361871311903721E-2</v>
      </c>
    </row>
    <row r="55" spans="1:8" s="191" customFormat="1" ht="4.5" customHeight="1" thickBot="1">
      <c r="B55" s="104"/>
      <c r="C55" s="105"/>
      <c r="D55" s="402"/>
      <c r="E55" s="403"/>
      <c r="F55" s="190"/>
      <c r="G55" s="397"/>
      <c r="H55" s="420"/>
    </row>
    <row r="56" spans="1:8" s="191" customFormat="1" ht="21" customHeight="1" thickBot="1">
      <c r="B56" s="116" t="s">
        <v>115</v>
      </c>
      <c r="C56" s="115"/>
      <c r="D56" s="404">
        <f>+D54+D44</f>
        <v>1303687681</v>
      </c>
      <c r="E56" s="405">
        <f>+E54+E44</f>
        <v>1313970839</v>
      </c>
      <c r="F56" s="190"/>
      <c r="G56" s="421">
        <f>ROUND(+(D56-E56),0)</f>
        <v>-10283158</v>
      </c>
      <c r="H56" s="422">
        <f t="shared" ref="H56:H67" si="15">IFERROR(G56/E56,100)</f>
        <v>-7.8260169059961911E-3</v>
      </c>
    </row>
    <row r="57" spans="1:8" s="191" customFormat="1" ht="21" customHeight="1">
      <c r="B57" s="100" t="s">
        <v>208</v>
      </c>
      <c r="C57" s="117"/>
      <c r="D57" s="412"/>
      <c r="E57" s="413"/>
      <c r="F57" s="190"/>
      <c r="G57" s="397"/>
      <c r="H57" s="420"/>
    </row>
    <row r="58" spans="1:8" s="191" customFormat="1" ht="18" customHeight="1">
      <c r="B58" s="104" t="s">
        <v>116</v>
      </c>
      <c r="C58" s="105">
        <f>+[7]Pasivo!C26</f>
        <v>20</v>
      </c>
      <c r="D58" s="402">
        <f>+[3]Pasivo!D29</f>
        <v>155567354</v>
      </c>
      <c r="E58" s="103">
        <f>+[3]Pasivo!E29</f>
        <v>155567354</v>
      </c>
      <c r="F58" s="190"/>
      <c r="G58" s="397">
        <f t="shared" ref="G58:G65" si="16">ROUND(+(D58-E58),0)</f>
        <v>0</v>
      </c>
      <c r="H58" s="420">
        <f t="shared" si="15"/>
        <v>0</v>
      </c>
    </row>
    <row r="59" spans="1:8" s="191" customFormat="1" ht="18" customHeight="1">
      <c r="B59" s="104" t="s">
        <v>117</v>
      </c>
      <c r="C59" s="105">
        <f>+[7]Pasivo!C27</f>
        <v>20</v>
      </c>
      <c r="D59" s="402">
        <f>+[3]Pasivo!D30</f>
        <v>364961863</v>
      </c>
      <c r="E59" s="103">
        <f>+[3]Pasivo!E30</f>
        <v>330787492</v>
      </c>
      <c r="F59" s="190"/>
      <c r="G59" s="397">
        <f t="shared" si="16"/>
        <v>34174371</v>
      </c>
      <c r="H59" s="420">
        <f t="shared" si="15"/>
        <v>0.10331216211766556</v>
      </c>
    </row>
    <row r="60" spans="1:8" s="191" customFormat="1" ht="18" customHeight="1">
      <c r="B60" s="118" t="s">
        <v>195</v>
      </c>
      <c r="C60" s="105">
        <f>+[7]Pasivo!C28</f>
        <v>20</v>
      </c>
      <c r="D60" s="402">
        <f>+[3]Pasivo!D31</f>
        <v>164064038</v>
      </c>
      <c r="E60" s="103">
        <f>+[3]Pasivo!E31</f>
        <v>164064038</v>
      </c>
      <c r="F60" s="190"/>
      <c r="G60" s="397">
        <f t="shared" si="16"/>
        <v>0</v>
      </c>
      <c r="H60" s="420">
        <f t="shared" si="15"/>
        <v>0</v>
      </c>
    </row>
    <row r="61" spans="1:8" s="190" customFormat="1" ht="18" customHeight="1">
      <c r="A61" s="191"/>
      <c r="B61" s="104" t="s">
        <v>118</v>
      </c>
      <c r="C61" s="105">
        <f>+[7]Pasivo!C29</f>
        <v>20</v>
      </c>
      <c r="D61" s="402">
        <f>+[3]Pasivo!D32</f>
        <v>-5965550</v>
      </c>
      <c r="E61" s="103">
        <f>+[3]Pasivo!E32</f>
        <v>-5965550</v>
      </c>
      <c r="G61" s="397">
        <f t="shared" si="16"/>
        <v>0</v>
      </c>
      <c r="H61" s="420">
        <f t="shared" si="15"/>
        <v>0</v>
      </c>
    </row>
    <row r="62" spans="1:8" s="190" customFormat="1" ht="18" customHeight="1" thickBot="1">
      <c r="A62" s="191"/>
      <c r="B62" s="104" t="s">
        <v>282</v>
      </c>
      <c r="C62" s="105"/>
      <c r="D62" s="402">
        <f>+[3]Pasivo!D33</f>
        <v>162095537</v>
      </c>
      <c r="E62" s="103">
        <f>+[3]Pasivo!E33</f>
        <v>0</v>
      </c>
      <c r="G62" s="397"/>
      <c r="H62" s="420"/>
    </row>
    <row r="63" spans="1:8" s="190" customFormat="1" ht="21.75" customHeight="1" thickBot="1">
      <c r="A63" s="191"/>
      <c r="B63" s="119" t="s">
        <v>81</v>
      </c>
      <c r="C63" s="105">
        <f>+[7]Pasivo!C30</f>
        <v>0</v>
      </c>
      <c r="D63" s="408">
        <f>SUM(D58:D62)</f>
        <v>840723242</v>
      </c>
      <c r="E63" s="409">
        <f>SUM(E58:E62)</f>
        <v>644453334</v>
      </c>
      <c r="G63" s="421">
        <f t="shared" si="16"/>
        <v>196269908</v>
      </c>
      <c r="H63" s="422">
        <f t="shared" si="15"/>
        <v>0.30455255275318355</v>
      </c>
    </row>
    <row r="64" spans="1:8" s="190" customFormat="1" ht="21.75" customHeight="1" thickBot="1">
      <c r="A64" s="191"/>
      <c r="B64" s="120" t="s">
        <v>191</v>
      </c>
      <c r="C64" s="105">
        <f>+[7]Pasivo!C31</f>
        <v>20</v>
      </c>
      <c r="D64" s="402">
        <f>+[3]Pasivo!D35</f>
        <v>25565</v>
      </c>
      <c r="E64" s="103">
        <f>+[3]Pasivo!E35</f>
        <v>43020129</v>
      </c>
      <c r="G64" s="397">
        <f t="shared" si="16"/>
        <v>-42994564</v>
      </c>
      <c r="H64" s="420">
        <f t="shared" si="15"/>
        <v>-0.99940574329751541</v>
      </c>
    </row>
    <row r="65" spans="1:8" s="190" customFormat="1" ht="18" customHeight="1" thickBot="1">
      <c r="A65" s="191"/>
      <c r="B65" s="110" t="s">
        <v>209</v>
      </c>
      <c r="C65" s="121"/>
      <c r="D65" s="404">
        <f>+D63+D64</f>
        <v>840748807</v>
      </c>
      <c r="E65" s="405">
        <f>+E63+E64</f>
        <v>687473463</v>
      </c>
      <c r="G65" s="421">
        <f t="shared" si="16"/>
        <v>153275344</v>
      </c>
      <c r="H65" s="422">
        <f t="shared" si="15"/>
        <v>0.22295456079298875</v>
      </c>
    </row>
    <row r="66" spans="1:8" s="191" customFormat="1" ht="11.25" customHeight="1" thickBot="1">
      <c r="B66" s="104"/>
      <c r="C66" s="105"/>
      <c r="D66" s="402"/>
      <c r="E66" s="403"/>
      <c r="F66" s="190"/>
      <c r="G66" s="397"/>
      <c r="H66" s="420"/>
    </row>
    <row r="67" spans="1:8" s="190" customFormat="1" ht="20.25" customHeight="1" thickBot="1">
      <c r="A67" s="191"/>
      <c r="B67" s="122" t="s">
        <v>210</v>
      </c>
      <c r="C67" s="123"/>
      <c r="D67" s="410">
        <f>+D65+D56</f>
        <v>2144436488</v>
      </c>
      <c r="E67" s="411">
        <f>+E65+E56</f>
        <v>2001444302</v>
      </c>
      <c r="G67" s="421">
        <f>ROUND(+(D67-E67),0)</f>
        <v>142992186</v>
      </c>
      <c r="H67" s="422">
        <f t="shared" si="15"/>
        <v>7.1444499283397994E-2</v>
      </c>
    </row>
    <row r="69" spans="1:8" ht="15" customHeight="1">
      <c r="D69" s="201">
        <f>+D67-D28</f>
        <v>0</v>
      </c>
      <c r="E69" s="201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0066"/>
    <pageSetUpPr fitToPage="1"/>
  </sheetPr>
  <dimension ref="A1:M31"/>
  <sheetViews>
    <sheetView showGridLines="0" topLeftCell="A3" zoomScale="90" zoomScaleNormal="90" workbookViewId="0">
      <selection activeCell="E4" sqref="E4"/>
    </sheetView>
  </sheetViews>
  <sheetFormatPr baseColWidth="10" defaultColWidth="11.44140625" defaultRowHeight="13.8"/>
  <cols>
    <col min="1" max="1" width="7.5546875" style="180" customWidth="1"/>
    <col min="2" max="2" width="50.44140625" style="180" customWidth="1"/>
    <col min="3" max="3" width="7.77734375" style="180" customWidth="1"/>
    <col min="4" max="4" width="12.44140625" style="180" bestFit="1" customWidth="1"/>
    <col min="5" max="5" width="13.77734375" style="180" customWidth="1"/>
    <col min="6" max="7" width="11.44140625" style="180" hidden="1" customWidth="1"/>
    <col min="8" max="8" width="5" style="180" customWidth="1"/>
    <col min="9" max="9" width="11.44140625" style="414"/>
    <col min="10" max="10" width="12.77734375" style="415" customWidth="1"/>
    <col min="11" max="11" width="12.77734375" style="482" customWidth="1"/>
    <col min="12" max="12" width="0" style="414" hidden="1" customWidth="1"/>
    <col min="13" max="13" width="12.77734375" style="415" hidden="1" customWidth="1"/>
    <col min="14" max="16384" width="11.44140625" style="180"/>
  </cols>
  <sheetData>
    <row r="1" spans="1:13">
      <c r="C1" s="181"/>
    </row>
    <row r="2" spans="1:13" ht="14.4" thickBot="1">
      <c r="C2" s="181"/>
      <c r="I2" s="534" t="s">
        <v>197</v>
      </c>
      <c r="J2" s="534"/>
      <c r="K2" s="483"/>
      <c r="L2" s="534" t="s">
        <v>198</v>
      </c>
      <c r="M2" s="534"/>
    </row>
    <row r="3" spans="1:13" s="183" customFormat="1" ht="27.6">
      <c r="A3" s="182"/>
      <c r="B3" s="530" t="s">
        <v>231</v>
      </c>
      <c r="C3" s="526" t="s">
        <v>92</v>
      </c>
      <c r="D3" s="96">
        <v>44196</v>
      </c>
      <c r="E3" s="96">
        <v>43830</v>
      </c>
      <c r="F3" s="124" t="s">
        <v>265</v>
      </c>
      <c r="G3" s="125" t="s">
        <v>266</v>
      </c>
      <c r="I3" s="532" t="s">
        <v>196</v>
      </c>
      <c r="J3" s="533"/>
      <c r="K3" s="484"/>
      <c r="L3" s="532" t="s">
        <v>196</v>
      </c>
      <c r="M3" s="533"/>
    </row>
    <row r="4" spans="1:13" s="183" customFormat="1" ht="16.5" customHeight="1">
      <c r="B4" s="531"/>
      <c r="C4" s="527"/>
      <c r="D4" s="98" t="s">
        <v>4</v>
      </c>
      <c r="E4" s="98" t="s">
        <v>4</v>
      </c>
      <c r="F4" s="126" t="s">
        <v>4</v>
      </c>
      <c r="G4" s="99" t="s">
        <v>4</v>
      </c>
      <c r="I4" s="418" t="s">
        <v>4</v>
      </c>
      <c r="J4" s="419" t="s">
        <v>60</v>
      </c>
      <c r="K4" s="485"/>
      <c r="L4" s="418" t="s">
        <v>4</v>
      </c>
      <c r="M4" s="419"/>
    </row>
    <row r="5" spans="1:13" s="183" customFormat="1" ht="21" customHeight="1">
      <c r="B5" s="127" t="s">
        <v>232</v>
      </c>
      <c r="C5" s="105">
        <v>21</v>
      </c>
      <c r="D5" s="102">
        <f>+[3]Resultado!D4</f>
        <v>478773563</v>
      </c>
      <c r="E5" s="102">
        <f>+[3]Resultado!E4</f>
        <v>484329084</v>
      </c>
      <c r="F5" s="128">
        <f>+[8]Resultado!F4</f>
        <v>105371352</v>
      </c>
      <c r="G5" s="103">
        <f>+[8]Resultado!G4</f>
        <v>106306948</v>
      </c>
      <c r="H5" s="184"/>
      <c r="I5" s="397">
        <f>+ROUND((D5-E5),0)</f>
        <v>-5555521</v>
      </c>
      <c r="J5" s="423">
        <f>IFERROR(I5/E5,1)</f>
        <v>-1.1470550052699292E-2</v>
      </c>
      <c r="K5" s="486"/>
      <c r="L5" s="397">
        <f>+ROUND((F5-G5),0)</f>
        <v>-935596</v>
      </c>
      <c r="M5" s="423">
        <f>IFERROR(L5/G5,1)</f>
        <v>-8.8008922991562131E-3</v>
      </c>
    </row>
    <row r="6" spans="1:13" s="183" customFormat="1" ht="21" customHeight="1">
      <c r="B6" s="127" t="s">
        <v>86</v>
      </c>
      <c r="C6" s="105"/>
      <c r="D6" s="102">
        <f>+[3]Resultado!D5</f>
        <v>-43542356</v>
      </c>
      <c r="E6" s="102">
        <f>+[3]Resultado!E5</f>
        <v>-37518383</v>
      </c>
      <c r="F6" s="128">
        <f>+[8]Resultado!F5</f>
        <v>-11576215</v>
      </c>
      <c r="G6" s="103">
        <f>+[8]Resultado!G5</f>
        <v>-9260272</v>
      </c>
      <c r="H6" s="184"/>
      <c r="I6" s="397">
        <f t="shared" ref="I6:I20" si="0">+ROUND((D6-E6),0)</f>
        <v>-6023973</v>
      </c>
      <c r="J6" s="423">
        <f t="shared" ref="J6:J27" si="1">IFERROR(I6/E6,1)</f>
        <v>0.16056057106725521</v>
      </c>
      <c r="K6" s="486"/>
      <c r="L6" s="397">
        <f t="shared" ref="L6:L20" si="2">+ROUND((F6-G6),0)</f>
        <v>-2315943</v>
      </c>
      <c r="M6" s="423">
        <f t="shared" ref="M6:M27" si="3">IFERROR(L6/G6,1)</f>
        <v>0.2500944896650984</v>
      </c>
    </row>
    <row r="7" spans="1:13" s="183" customFormat="1" ht="21" customHeight="1">
      <c r="B7" s="127" t="s">
        <v>78</v>
      </c>
      <c r="C7" s="105">
        <f>+[9]Pasivo!C11</f>
        <v>18</v>
      </c>
      <c r="D7" s="102">
        <f>+[3]Resultado!D6</f>
        <v>-55045719</v>
      </c>
      <c r="E7" s="102">
        <f>+[3]Resultado!E6</f>
        <v>-50638865</v>
      </c>
      <c r="F7" s="128">
        <f>+[8]Resultado!F6</f>
        <v>-14675516</v>
      </c>
      <c r="G7" s="103">
        <f>+[8]Resultado!G6</f>
        <v>-11672640</v>
      </c>
      <c r="H7" s="184"/>
      <c r="I7" s="397">
        <f t="shared" si="0"/>
        <v>-4406854</v>
      </c>
      <c r="J7" s="423">
        <f t="shared" si="1"/>
        <v>8.7025133758428436E-2</v>
      </c>
      <c r="K7" s="486"/>
      <c r="L7" s="397">
        <f t="shared" si="2"/>
        <v>-3002876</v>
      </c>
      <c r="M7" s="423">
        <f t="shared" si="3"/>
        <v>0.25725765550895086</v>
      </c>
    </row>
    <row r="8" spans="1:13" s="183" customFormat="1" ht="21" customHeight="1">
      <c r="B8" s="127" t="s">
        <v>79</v>
      </c>
      <c r="C8" s="129" t="s">
        <v>233</v>
      </c>
      <c r="D8" s="102">
        <f>+[3]Resultado!D7</f>
        <v>-67134809</v>
      </c>
      <c r="E8" s="102">
        <f>+[3]Resultado!E7</f>
        <v>-63951173</v>
      </c>
      <c r="F8" s="128">
        <f>+[8]Resultado!F7</f>
        <v>-16254350</v>
      </c>
      <c r="G8" s="103">
        <f>+[8]Resultado!G7</f>
        <v>-15724751</v>
      </c>
      <c r="H8" s="184"/>
      <c r="I8" s="397">
        <f t="shared" si="0"/>
        <v>-3183636</v>
      </c>
      <c r="J8" s="423">
        <f t="shared" si="1"/>
        <v>4.9782292499935848E-2</v>
      </c>
      <c r="K8" s="486"/>
      <c r="L8" s="397">
        <f t="shared" si="2"/>
        <v>-529599</v>
      </c>
      <c r="M8" s="423">
        <f t="shared" si="3"/>
        <v>3.3679325033509275E-2</v>
      </c>
    </row>
    <row r="9" spans="1:13" s="183" customFormat="1" ht="21" customHeight="1">
      <c r="B9" s="130" t="s">
        <v>283</v>
      </c>
      <c r="C9" s="131"/>
      <c r="D9" s="102">
        <f>+[3]Resultado!D8</f>
        <v>-1404946</v>
      </c>
      <c r="E9" s="102">
        <f>+[3]Resultado!E8</f>
        <v>0</v>
      </c>
      <c r="F9" s="128">
        <f>+[8]Resultado!F8</f>
        <v>-1370426</v>
      </c>
      <c r="G9" s="103">
        <f>+[8]Resultado!G8</f>
        <v>0</v>
      </c>
      <c r="H9" s="184"/>
      <c r="I9" s="397">
        <f t="shared" si="0"/>
        <v>-1404946</v>
      </c>
      <c r="J9" s="423">
        <f t="shared" si="1"/>
        <v>1</v>
      </c>
      <c r="K9" s="486"/>
      <c r="L9" s="397">
        <f t="shared" si="2"/>
        <v>-1370426</v>
      </c>
      <c r="M9" s="423">
        <f t="shared" si="3"/>
        <v>1</v>
      </c>
    </row>
    <row r="10" spans="1:13" s="183" customFormat="1" ht="21" customHeight="1">
      <c r="B10" s="127" t="s">
        <v>80</v>
      </c>
      <c r="C10" s="105">
        <v>22</v>
      </c>
      <c r="D10" s="102">
        <f>+[3]Resultado!D9</f>
        <v>-144853561</v>
      </c>
      <c r="E10" s="102">
        <f>+[3]Resultado!E9</f>
        <v>-110865349</v>
      </c>
      <c r="F10" s="128">
        <f>+[8]Resultado!F9</f>
        <v>-33265586</v>
      </c>
      <c r="G10" s="103">
        <f>+[8]Resultado!G9</f>
        <v>-28766850</v>
      </c>
      <c r="H10" s="184"/>
      <c r="I10" s="397">
        <f t="shared" si="0"/>
        <v>-33988212</v>
      </c>
      <c r="J10" s="423">
        <f t="shared" si="1"/>
        <v>0.3065720020418643</v>
      </c>
      <c r="K10" s="486"/>
      <c r="L10" s="397">
        <f t="shared" si="2"/>
        <v>-4498736</v>
      </c>
      <c r="M10" s="423">
        <f t="shared" si="3"/>
        <v>0.15638611804907385</v>
      </c>
    </row>
    <row r="11" spans="1:13" s="183" customFormat="1" ht="21" customHeight="1">
      <c r="B11" s="127" t="s">
        <v>218</v>
      </c>
      <c r="C11" s="105">
        <v>23</v>
      </c>
      <c r="D11" s="102">
        <f>+[3]Resultado!D10</f>
        <v>-3967292</v>
      </c>
      <c r="E11" s="102">
        <f>+[3]Resultado!E10</f>
        <v>14280922</v>
      </c>
      <c r="F11" s="128">
        <f>+[8]Resultado!F10</f>
        <v>-435245</v>
      </c>
      <c r="G11" s="103">
        <f>+[8]Resultado!G10</f>
        <v>-497658</v>
      </c>
      <c r="H11" s="184"/>
      <c r="I11" s="397">
        <f t="shared" si="0"/>
        <v>-18248214</v>
      </c>
      <c r="J11" s="423">
        <f t="shared" si="1"/>
        <v>-1.2778036320063928</v>
      </c>
      <c r="K11" s="486"/>
      <c r="L11" s="397">
        <f t="shared" si="2"/>
        <v>62413</v>
      </c>
      <c r="M11" s="423">
        <f t="shared" si="3"/>
        <v>-0.12541343653673809</v>
      </c>
    </row>
    <row r="12" spans="1:13" s="183" customFormat="1" ht="21" customHeight="1">
      <c r="B12" s="440" t="s">
        <v>252</v>
      </c>
      <c r="C12" s="441"/>
      <c r="D12" s="441">
        <f>+SUM(D5:D11)</f>
        <v>162824880</v>
      </c>
      <c r="E12" s="441">
        <f t="shared" ref="E12:G12" si="4">+SUM(E5:E11)</f>
        <v>235636236</v>
      </c>
      <c r="F12" s="441">
        <f t="shared" si="4"/>
        <v>27794014</v>
      </c>
      <c r="G12" s="441">
        <f t="shared" si="4"/>
        <v>40384777</v>
      </c>
      <c r="H12" s="184"/>
      <c r="I12" s="397"/>
      <c r="J12" s="423"/>
      <c r="K12" s="486"/>
      <c r="L12" s="397"/>
      <c r="M12" s="423"/>
    </row>
    <row r="13" spans="1:13" s="183" customFormat="1" ht="21" customHeight="1">
      <c r="B13" s="127" t="s">
        <v>83</v>
      </c>
      <c r="C13" s="105">
        <f>+C11</f>
        <v>23</v>
      </c>
      <c r="D13" s="102">
        <f>+[3]Resultado!D12</f>
        <v>3868561</v>
      </c>
      <c r="E13" s="102">
        <f>+[3]Resultado!E12</f>
        <v>5223315</v>
      </c>
      <c r="F13" s="128">
        <f>+[8]Resultado!F12</f>
        <v>912579</v>
      </c>
      <c r="G13" s="103">
        <f>+[8]Resultado!G12</f>
        <v>1055571</v>
      </c>
      <c r="H13" s="184"/>
      <c r="I13" s="397">
        <f t="shared" si="0"/>
        <v>-1354754</v>
      </c>
      <c r="J13" s="423">
        <f t="shared" si="1"/>
        <v>-0.25936670486080199</v>
      </c>
      <c r="K13" s="486"/>
      <c r="L13" s="397">
        <f t="shared" si="2"/>
        <v>-142992</v>
      </c>
      <c r="M13" s="423">
        <f t="shared" si="3"/>
        <v>-0.13546412320914464</v>
      </c>
    </row>
    <row r="14" spans="1:13" s="183" customFormat="1" ht="21" customHeight="1">
      <c r="B14" s="127" t="s">
        <v>211</v>
      </c>
      <c r="C14" s="105">
        <f>+C13</f>
        <v>23</v>
      </c>
      <c r="D14" s="102">
        <f>+[3]Resultado!D13</f>
        <v>-28172393</v>
      </c>
      <c r="E14" s="102">
        <f>+[3]Resultado!E13</f>
        <v>-26752209</v>
      </c>
      <c r="F14" s="128">
        <f>+[8]Resultado!F13</f>
        <v>-7740837</v>
      </c>
      <c r="G14" s="103">
        <f>+[8]Resultado!G13</f>
        <v>-6515610</v>
      </c>
      <c r="H14" s="184"/>
      <c r="I14" s="397">
        <f t="shared" si="0"/>
        <v>-1420184</v>
      </c>
      <c r="J14" s="423">
        <f t="shared" si="1"/>
        <v>5.3086606791984917E-2</v>
      </c>
      <c r="K14" s="486"/>
      <c r="L14" s="397">
        <f t="shared" si="2"/>
        <v>-1225227</v>
      </c>
      <c r="M14" s="423">
        <f t="shared" si="3"/>
        <v>0.18804486456371697</v>
      </c>
    </row>
    <row r="15" spans="1:13" s="183" customFormat="1" ht="21" customHeight="1">
      <c r="B15" s="127" t="s">
        <v>253</v>
      </c>
      <c r="C15" s="105">
        <v>24</v>
      </c>
      <c r="D15" s="102">
        <f>+[3]Resultado!D14</f>
        <v>-496138</v>
      </c>
      <c r="E15" s="102">
        <f>+[3]Resultado!E14</f>
        <v>-481551</v>
      </c>
      <c r="F15" s="128">
        <f>+[8]Resultado!F14</f>
        <v>-1860175</v>
      </c>
      <c r="G15" s="103">
        <f>+[8]Resultado!G14</f>
        <v>-19099</v>
      </c>
      <c r="H15" s="184"/>
      <c r="I15" s="397">
        <f t="shared" si="0"/>
        <v>-14587</v>
      </c>
      <c r="J15" s="423">
        <f t="shared" si="1"/>
        <v>3.0291703267151349E-2</v>
      </c>
      <c r="K15" s="486"/>
      <c r="L15" s="397">
        <f t="shared" si="2"/>
        <v>-1841076</v>
      </c>
      <c r="M15" s="423">
        <f t="shared" si="3"/>
        <v>96.396460547672646</v>
      </c>
    </row>
    <row r="16" spans="1:13" s="183" customFormat="1" ht="21" customHeight="1" thickBot="1">
      <c r="B16" s="127" t="s">
        <v>119</v>
      </c>
      <c r="C16" s="105">
        <v>25</v>
      </c>
      <c r="D16" s="102">
        <f>+[3]Resultado!D15</f>
        <v>-22343279</v>
      </c>
      <c r="E16" s="102">
        <f>+[3]Resultado!E15</f>
        <v>-21552953</v>
      </c>
      <c r="F16" s="128">
        <f>+[8]Resultado!F15</f>
        <v>-414977</v>
      </c>
      <c r="G16" s="103">
        <f>+[8]Resultado!G15</f>
        <v>-3676132</v>
      </c>
      <c r="H16" s="184"/>
      <c r="I16" s="397">
        <f t="shared" si="0"/>
        <v>-790326</v>
      </c>
      <c r="J16" s="423">
        <f t="shared" si="1"/>
        <v>3.6669035560927543E-2</v>
      </c>
      <c r="K16" s="486"/>
      <c r="L16" s="397">
        <f t="shared" si="2"/>
        <v>3261155</v>
      </c>
      <c r="M16" s="423">
        <f t="shared" si="3"/>
        <v>-0.88711585982222618</v>
      </c>
    </row>
    <row r="17" spans="2:13" s="183" customFormat="1" ht="21" hidden="1" customHeight="1" thickBot="1">
      <c r="B17" s="127" t="s">
        <v>267</v>
      </c>
      <c r="C17" s="105"/>
      <c r="D17" s="102"/>
      <c r="E17" s="102"/>
      <c r="F17" s="128"/>
      <c r="G17" s="103"/>
      <c r="H17" s="184"/>
      <c r="I17" s="397"/>
      <c r="J17" s="423"/>
      <c r="K17" s="486"/>
      <c r="L17" s="397"/>
      <c r="M17" s="423"/>
    </row>
    <row r="18" spans="2:13" s="183" customFormat="1" ht="21" customHeight="1" thickBot="1">
      <c r="B18" s="133" t="s">
        <v>212</v>
      </c>
      <c r="C18" s="134"/>
      <c r="D18" s="135">
        <f>SUM(D12:D16)</f>
        <v>115681631</v>
      </c>
      <c r="E18" s="135">
        <f>SUM(E12:E16)</f>
        <v>192072838</v>
      </c>
      <c r="F18" s="136">
        <f t="shared" ref="F18:G18" si="5">SUM(F12:F16)</f>
        <v>18690604</v>
      </c>
      <c r="G18" s="137">
        <f t="shared" si="5"/>
        <v>31229507</v>
      </c>
      <c r="H18" s="184"/>
      <c r="I18" s="421">
        <f t="shared" si="0"/>
        <v>-76391207</v>
      </c>
      <c r="J18" s="426">
        <f t="shared" si="1"/>
        <v>-0.39771998891378907</v>
      </c>
      <c r="K18" s="487"/>
      <c r="L18" s="421">
        <f t="shared" si="2"/>
        <v>-12538903</v>
      </c>
      <c r="M18" s="426">
        <f t="shared" si="3"/>
        <v>-0.4015081954383718</v>
      </c>
    </row>
    <row r="19" spans="2:13" s="183" customFormat="1" ht="21" customHeight="1" thickBot="1">
      <c r="B19" s="127" t="s">
        <v>213</v>
      </c>
      <c r="C19" s="105">
        <v>13</v>
      </c>
      <c r="D19" s="102">
        <f>+[3]Resultado!D18</f>
        <v>-26987579</v>
      </c>
      <c r="E19" s="102">
        <f>+[3]Resultado!E18</f>
        <v>-49352038</v>
      </c>
      <c r="F19" s="128">
        <f>+[8]Resultado!F18</f>
        <v>-5208985</v>
      </c>
      <c r="G19" s="103">
        <f>+[8]Resultado!G18</f>
        <v>-9162732</v>
      </c>
      <c r="H19" s="184"/>
      <c r="I19" s="397">
        <f t="shared" si="0"/>
        <v>22364459</v>
      </c>
      <c r="J19" s="423">
        <f t="shared" si="1"/>
        <v>-0.45316181268947797</v>
      </c>
      <c r="K19" s="486"/>
      <c r="L19" s="397">
        <f t="shared" si="2"/>
        <v>3953747</v>
      </c>
      <c r="M19" s="423">
        <f t="shared" si="3"/>
        <v>-0.43150307135470078</v>
      </c>
    </row>
    <row r="20" spans="2:13" s="183" customFormat="1" ht="21" customHeight="1" thickBot="1">
      <c r="B20" s="133" t="s">
        <v>214</v>
      </c>
      <c r="C20" s="138"/>
      <c r="D20" s="135">
        <f>+D18+D19</f>
        <v>88694052</v>
      </c>
      <c r="E20" s="135">
        <f>+E18+E19</f>
        <v>142720800</v>
      </c>
      <c r="F20" s="136">
        <f t="shared" ref="F20:G20" si="6">+F18+F19</f>
        <v>13481619</v>
      </c>
      <c r="G20" s="137">
        <f t="shared" si="6"/>
        <v>22066775</v>
      </c>
      <c r="H20" s="184"/>
      <c r="I20" s="421">
        <f t="shared" si="0"/>
        <v>-54026748</v>
      </c>
      <c r="J20" s="426">
        <f t="shared" si="1"/>
        <v>-0.3785485227100745</v>
      </c>
      <c r="K20" s="487"/>
      <c r="L20" s="421">
        <f t="shared" si="2"/>
        <v>-8585156</v>
      </c>
      <c r="M20" s="426">
        <f t="shared" si="3"/>
        <v>-0.389053497849142</v>
      </c>
    </row>
    <row r="21" spans="2:13" s="183" customFormat="1" ht="23.25" customHeight="1" thickBot="1">
      <c r="B21" s="130" t="s">
        <v>268</v>
      </c>
      <c r="C21" s="139"/>
      <c r="D21" s="102">
        <f>+[3]Resultado!D20</f>
        <v>11671443</v>
      </c>
      <c r="E21" s="102">
        <f>+[3]Resultado!E20</f>
        <v>-2970428</v>
      </c>
      <c r="F21" s="128">
        <f>+[8]Resultado!F20</f>
        <v>-101388</v>
      </c>
      <c r="G21" s="103">
        <f>+[8]Resultado!G20</f>
        <v>-5635727</v>
      </c>
      <c r="H21" s="184"/>
      <c r="I21" s="397">
        <f t="shared" ref="I21" si="7">+ROUND((D21-E21),0)</f>
        <v>14641871</v>
      </c>
      <c r="J21" s="423">
        <f t="shared" ref="J21" si="8">IFERROR(I21/E21,1)</f>
        <v>-4.9292125579209465</v>
      </c>
      <c r="K21" s="486"/>
      <c r="L21" s="397">
        <f t="shared" ref="L21" si="9">+ROUND((F21-G21),0)</f>
        <v>5534339</v>
      </c>
      <c r="M21" s="423">
        <f t="shared" ref="M21" si="10">IFERROR(L21/G21,1)</f>
        <v>-0.98200977442661785</v>
      </c>
    </row>
    <row r="22" spans="2:13" s="183" customFormat="1" ht="23.25" hidden="1" customHeight="1" thickBot="1">
      <c r="B22" s="130"/>
      <c r="C22" s="139"/>
      <c r="D22" s="102"/>
      <c r="E22" s="102"/>
      <c r="F22" s="128"/>
      <c r="G22" s="103"/>
      <c r="H22" s="184"/>
      <c r="I22" s="397"/>
      <c r="J22" s="423"/>
      <c r="K22" s="486"/>
      <c r="L22" s="397"/>
      <c r="M22" s="423"/>
    </row>
    <row r="23" spans="2:13" s="183" customFormat="1" ht="21" customHeight="1" thickBot="1">
      <c r="B23" s="133" t="s">
        <v>120</v>
      </c>
      <c r="C23" s="138"/>
      <c r="D23" s="135">
        <f>+D20+D21</f>
        <v>100365495</v>
      </c>
      <c r="E23" s="135">
        <f t="shared" ref="E23:G23" si="11">+E20+E21</f>
        <v>139750372</v>
      </c>
      <c r="F23" s="136">
        <f t="shared" si="11"/>
        <v>13380231</v>
      </c>
      <c r="G23" s="137">
        <f t="shared" si="11"/>
        <v>16431048</v>
      </c>
      <c r="H23" s="184"/>
      <c r="I23" s="421">
        <f>+ROUND((D23-E23),0)</f>
        <v>-39384877</v>
      </c>
      <c r="J23" s="426">
        <f t="shared" si="1"/>
        <v>-0.28182305661411766</v>
      </c>
      <c r="K23" s="487"/>
      <c r="L23" s="421">
        <f>+ROUND((F23-G23),0)</f>
        <v>-3050817</v>
      </c>
      <c r="M23" s="426">
        <f t="shared" si="3"/>
        <v>-0.18567391440886791</v>
      </c>
    </row>
    <row r="24" spans="2:13" s="183" customFormat="1" ht="21" customHeight="1" thickBot="1">
      <c r="B24" s="141" t="s">
        <v>215</v>
      </c>
      <c r="C24" s="142" t="s">
        <v>0</v>
      </c>
      <c r="D24" s="143"/>
      <c r="E24" s="132"/>
      <c r="F24" s="144"/>
      <c r="G24" s="140"/>
      <c r="H24" s="184"/>
      <c r="I24" s="397"/>
      <c r="J24" s="423"/>
      <c r="K24" s="486"/>
      <c r="L24" s="397"/>
      <c r="M24" s="423"/>
    </row>
    <row r="25" spans="2:13" s="183" customFormat="1" ht="21" customHeight="1" thickBot="1">
      <c r="B25" s="145" t="s">
        <v>89</v>
      </c>
      <c r="C25" s="138"/>
      <c r="D25" s="146">
        <f>+D23-D26</f>
        <v>98691668</v>
      </c>
      <c r="E25" s="146">
        <f>+E23-E26</f>
        <v>141737188</v>
      </c>
      <c r="F25" s="146">
        <f t="shared" ref="F25:G25" si="12">+F23-F26</f>
        <v>13535561</v>
      </c>
      <c r="G25" s="146">
        <f t="shared" si="12"/>
        <v>19336161</v>
      </c>
      <c r="H25" s="184"/>
      <c r="I25" s="421">
        <f t="shared" ref="I25:I27" si="13">+ROUND((D25-E25),0)</f>
        <v>-43045520</v>
      </c>
      <c r="J25" s="426">
        <f t="shared" si="1"/>
        <v>-0.30369954849111302</v>
      </c>
      <c r="K25" s="487"/>
      <c r="L25" s="421">
        <f t="shared" ref="L25:L27" si="14">+ROUND((F25-G25),0)</f>
        <v>-5800600</v>
      </c>
      <c r="M25" s="426">
        <f t="shared" si="3"/>
        <v>-0.29998715877469162</v>
      </c>
    </row>
    <row r="26" spans="2:13" s="183" customFormat="1" ht="21" customHeight="1" thickBot="1">
      <c r="B26" s="130" t="s">
        <v>216</v>
      </c>
      <c r="C26" s="139">
        <v>20</v>
      </c>
      <c r="D26" s="102">
        <f>+[3]Resultado!D25</f>
        <v>1673827</v>
      </c>
      <c r="E26" s="102">
        <f>+[3]Resultado!E25</f>
        <v>-1986816</v>
      </c>
      <c r="F26" s="102">
        <f>+[8]Resultado!F25</f>
        <v>-155330</v>
      </c>
      <c r="G26" s="102">
        <f>+[8]Resultado!G25</f>
        <v>-2905113</v>
      </c>
      <c r="H26" s="184"/>
      <c r="I26" s="397">
        <f t="shared" si="13"/>
        <v>3660643</v>
      </c>
      <c r="J26" s="423">
        <f t="shared" si="1"/>
        <v>-1.8424670427457801</v>
      </c>
      <c r="K26" s="486"/>
      <c r="L26" s="397">
        <f t="shared" si="14"/>
        <v>2749783</v>
      </c>
      <c r="M26" s="423">
        <f t="shared" si="3"/>
        <v>-0.94653220029651175</v>
      </c>
    </row>
    <row r="27" spans="2:13" s="183" customFormat="1" ht="21" customHeight="1" thickBot="1">
      <c r="B27" s="147" t="s">
        <v>121</v>
      </c>
      <c r="C27" s="148"/>
      <c r="D27" s="146">
        <f>+D25+D26</f>
        <v>100365495</v>
      </c>
      <c r="E27" s="146">
        <f t="shared" ref="E27:G27" si="15">+E25+E26</f>
        <v>139750372</v>
      </c>
      <c r="F27" s="149">
        <f t="shared" si="15"/>
        <v>13380231</v>
      </c>
      <c r="G27" s="150">
        <f t="shared" si="15"/>
        <v>16431048</v>
      </c>
      <c r="H27" s="184"/>
      <c r="I27" s="421">
        <f t="shared" si="13"/>
        <v>-39384877</v>
      </c>
      <c r="J27" s="426">
        <f t="shared" si="1"/>
        <v>-0.28182305661411766</v>
      </c>
      <c r="K27" s="487"/>
      <c r="L27" s="421">
        <f t="shared" si="14"/>
        <v>-3050817</v>
      </c>
      <c r="M27" s="426">
        <f t="shared" si="3"/>
        <v>-0.18567391440886791</v>
      </c>
    </row>
    <row r="28" spans="2:13" s="183" customFormat="1" ht="21" customHeight="1">
      <c r="B28" s="151" t="s">
        <v>217</v>
      </c>
      <c r="C28" s="142"/>
      <c r="D28" s="152"/>
      <c r="E28" s="132"/>
      <c r="F28" s="153"/>
      <c r="G28" s="140"/>
      <c r="I28" s="397"/>
      <c r="J28" s="423"/>
      <c r="K28" s="486"/>
      <c r="L28" s="397"/>
      <c r="M28" s="423"/>
    </row>
    <row r="29" spans="2:13" s="183" customFormat="1" ht="21" customHeight="1">
      <c r="B29" s="392" t="s">
        <v>246</v>
      </c>
      <c r="C29" s="105">
        <v>27</v>
      </c>
      <c r="D29" s="393">
        <f>+[3]Resultado!D28</f>
        <v>16.128817210100074</v>
      </c>
      <c r="E29" s="393">
        <f>+[3]Resultado!E28</f>
        <v>23.163588613433809</v>
      </c>
      <c r="F29" s="468">
        <f>+[8]Resultado!F27</f>
        <v>0</v>
      </c>
      <c r="G29" s="469">
        <f>+[8]Resultado!G27</f>
        <v>0</v>
      </c>
      <c r="I29" s="397"/>
      <c r="J29" s="423"/>
      <c r="K29" s="486"/>
      <c r="L29" s="397"/>
      <c r="M29" s="423"/>
    </row>
    <row r="30" spans="2:13" s="183" customFormat="1" ht="21" customHeight="1" thickBot="1">
      <c r="B30" s="154" t="s">
        <v>122</v>
      </c>
      <c r="C30" s="155"/>
      <c r="D30" s="156">
        <f>+D29</f>
        <v>16.128817210100074</v>
      </c>
      <c r="E30" s="156">
        <f t="shared" ref="E30:G30" si="16">+E29</f>
        <v>23.163588613433809</v>
      </c>
      <c r="F30" s="157">
        <f t="shared" si="16"/>
        <v>0</v>
      </c>
      <c r="G30" s="158">
        <f t="shared" si="16"/>
        <v>0</v>
      </c>
      <c r="I30" s="424"/>
      <c r="J30" s="425"/>
      <c r="K30" s="486"/>
      <c r="L30" s="424"/>
      <c r="M30" s="425"/>
    </row>
    <row r="31" spans="2:13" ht="9" customHeight="1">
      <c r="B31" s="185"/>
      <c r="C31" s="185"/>
      <c r="D31" s="185"/>
      <c r="E31" s="185"/>
      <c r="F31" s="186"/>
      <c r="G31" s="186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000066"/>
    <pageSetUpPr fitToPage="1"/>
  </sheetPr>
  <dimension ref="B1:L76"/>
  <sheetViews>
    <sheetView showGridLines="0" topLeftCell="A20" workbookViewId="0">
      <selection activeCell="G50" sqref="G50"/>
    </sheetView>
  </sheetViews>
  <sheetFormatPr baseColWidth="10" defaultColWidth="11.44140625" defaultRowHeight="13.8"/>
  <cols>
    <col min="1" max="1" width="7.44140625" style="163" customWidth="1"/>
    <col min="2" max="2" width="71.77734375" style="163" customWidth="1"/>
    <col min="3" max="3" width="5.5546875" style="163" customWidth="1"/>
    <col min="4" max="5" width="12.44140625" style="163" bestFit="1" customWidth="1"/>
    <col min="6" max="6" width="4.77734375" style="164" customWidth="1"/>
    <col min="7" max="7" width="12" style="417" bestFit="1" customWidth="1"/>
    <col min="8" max="8" width="11.44140625" style="416"/>
    <col min="9" max="16384" width="11.44140625" style="163"/>
  </cols>
  <sheetData>
    <row r="1" spans="2:12" ht="14.4" thickBot="1"/>
    <row r="2" spans="2:12" s="165" customFormat="1" ht="12" customHeight="1">
      <c r="B2" s="535" t="s">
        <v>178</v>
      </c>
      <c r="C2" s="537" t="s">
        <v>92</v>
      </c>
      <c r="D2" s="389">
        <f>+Resultado!D3</f>
        <v>44196</v>
      </c>
      <c r="E2" s="390">
        <f>+Resultado!E3</f>
        <v>43830</v>
      </c>
      <c r="G2" s="532" t="s">
        <v>196</v>
      </c>
      <c r="H2" s="533"/>
    </row>
    <row r="3" spans="2:12" s="165" customFormat="1" ht="12" customHeight="1">
      <c r="B3" s="536"/>
      <c r="C3" s="538"/>
      <c r="D3" s="166" t="s">
        <v>4</v>
      </c>
      <c r="E3" s="167" t="s">
        <v>4</v>
      </c>
      <c r="G3" s="427" t="s">
        <v>4</v>
      </c>
      <c r="H3" s="428" t="s">
        <v>60</v>
      </c>
    </row>
    <row r="4" spans="2:12" s="170" customFormat="1" ht="21" customHeight="1">
      <c r="B4" s="159" t="s">
        <v>124</v>
      </c>
      <c r="C4" s="160"/>
      <c r="D4" s="442">
        <f>+[3]Flujo!D4</f>
        <v>544596948</v>
      </c>
      <c r="E4" s="442">
        <f>+[3]Flujo!E4</f>
        <v>574497101</v>
      </c>
      <c r="F4" s="169"/>
      <c r="G4" s="397">
        <f>ROUND(+(D4-E4),0)</f>
        <v>-29900153</v>
      </c>
      <c r="H4" s="429">
        <f>+IFERROR(G4/E4,1)</f>
        <v>-5.2045785693181419E-2</v>
      </c>
      <c r="K4" s="391"/>
      <c r="L4" s="391"/>
    </row>
    <row r="5" spans="2:12" s="170" customFormat="1" ht="21" hidden="1" customHeight="1">
      <c r="B5" s="159" t="s">
        <v>126</v>
      </c>
      <c r="C5" s="160"/>
      <c r="D5" s="442">
        <f>+[3]Flujo!D5</f>
        <v>0</v>
      </c>
      <c r="E5" s="442">
        <f>+[3]Flujo!E5</f>
        <v>0</v>
      </c>
      <c r="F5" s="169"/>
      <c r="G5" s="397">
        <f t="shared" ref="G5:G64" si="0">ROUND(+(D5-E5),0)</f>
        <v>0</v>
      </c>
      <c r="H5" s="429"/>
    </row>
    <row r="6" spans="2:12" s="170" customFormat="1" ht="21" hidden="1" customHeight="1">
      <c r="B6" s="159" t="s">
        <v>125</v>
      </c>
      <c r="C6" s="160"/>
      <c r="D6" s="442">
        <f>+[3]Flujo!D6</f>
        <v>0</v>
      </c>
      <c r="E6" s="442">
        <f>+[3]Flujo!E6</f>
        <v>0</v>
      </c>
      <c r="F6" s="169"/>
      <c r="G6" s="397">
        <f t="shared" si="0"/>
        <v>0</v>
      </c>
      <c r="H6" s="429"/>
    </row>
    <row r="7" spans="2:12" s="170" customFormat="1" ht="21" customHeight="1">
      <c r="B7" s="159" t="s">
        <v>127</v>
      </c>
      <c r="C7" s="160"/>
      <c r="D7" s="442">
        <f>+[3]Flujo!D7</f>
        <v>85227</v>
      </c>
      <c r="E7" s="442">
        <f>+[3]Flujo!E7</f>
        <v>18611</v>
      </c>
      <c r="F7" s="169"/>
      <c r="G7" s="397">
        <f t="shared" si="0"/>
        <v>66616</v>
      </c>
      <c r="H7" s="429">
        <f t="shared" ref="H7:H66" si="1">+IFERROR(G7/E7,1)</f>
        <v>3.5793885336628875</v>
      </c>
      <c r="K7" s="391"/>
      <c r="L7" s="391"/>
    </row>
    <row r="8" spans="2:12" s="170" customFormat="1" ht="21" customHeight="1">
      <c r="B8" s="159" t="s">
        <v>128</v>
      </c>
      <c r="C8" s="160"/>
      <c r="D8" s="442">
        <f>+[3]Flujo!D8</f>
        <v>12004316</v>
      </c>
      <c r="E8" s="442">
        <f>+[3]Flujo!E8</f>
        <v>4188086</v>
      </c>
      <c r="F8" s="169"/>
      <c r="G8" s="397">
        <f t="shared" si="0"/>
        <v>7816230</v>
      </c>
      <c r="H8" s="429">
        <f t="shared" si="1"/>
        <v>1.8663012173102462</v>
      </c>
      <c r="K8" s="391"/>
      <c r="L8" s="391"/>
    </row>
    <row r="9" spans="2:12" s="170" customFormat="1" ht="21" customHeight="1">
      <c r="B9" s="161" t="s">
        <v>123</v>
      </c>
      <c r="C9" s="160"/>
      <c r="D9" s="443">
        <f>SUM(D4:D8)</f>
        <v>556686491</v>
      </c>
      <c r="E9" s="444">
        <f>SUM(E4:E8)</f>
        <v>578703798</v>
      </c>
      <c r="F9" s="169"/>
      <c r="G9" s="398">
        <f t="shared" si="0"/>
        <v>-22017307</v>
      </c>
      <c r="H9" s="431">
        <f t="shared" si="1"/>
        <v>-3.8045900296648824E-2</v>
      </c>
      <c r="K9" s="391"/>
      <c r="L9" s="391"/>
    </row>
    <row r="10" spans="2:12" s="170" customFormat="1" ht="21" customHeight="1">
      <c r="B10" s="159" t="s">
        <v>129</v>
      </c>
      <c r="C10" s="160"/>
      <c r="D10" s="442">
        <f>+[3]Flujo!D10</f>
        <v>-194753162</v>
      </c>
      <c r="E10" s="442">
        <f>+[3]Flujo!E10</f>
        <v>-187354664</v>
      </c>
      <c r="F10" s="169"/>
      <c r="G10" s="397">
        <f t="shared" si="0"/>
        <v>-7398498</v>
      </c>
      <c r="H10" s="429">
        <f t="shared" si="1"/>
        <v>3.9489265129796822E-2</v>
      </c>
      <c r="K10" s="391"/>
      <c r="L10" s="391"/>
    </row>
    <row r="11" spans="2:12" s="170" customFormat="1" ht="21" hidden="1" customHeight="1">
      <c r="B11" s="159" t="s">
        <v>130</v>
      </c>
      <c r="C11" s="160"/>
      <c r="D11" s="442">
        <f>+[3]Flujo!D11</f>
        <v>0</v>
      </c>
      <c r="E11" s="442">
        <f>+[3]Flujo!E11</f>
        <v>0</v>
      </c>
      <c r="F11" s="169"/>
      <c r="G11" s="397">
        <f t="shared" si="0"/>
        <v>0</v>
      </c>
      <c r="H11" s="429">
        <f t="shared" si="1"/>
        <v>1</v>
      </c>
      <c r="K11" s="391"/>
      <c r="L11" s="391"/>
    </row>
    <row r="12" spans="2:12" s="170" customFormat="1" ht="21" customHeight="1">
      <c r="B12" s="159" t="s">
        <v>131</v>
      </c>
      <c r="C12" s="162"/>
      <c r="D12" s="442">
        <f>+[3]Flujo!D12</f>
        <v>-54474101</v>
      </c>
      <c r="E12" s="442">
        <f>+[3]Flujo!E12</f>
        <v>-51681538</v>
      </c>
      <c r="F12" s="169"/>
      <c r="G12" s="397">
        <f t="shared" si="0"/>
        <v>-2792563</v>
      </c>
      <c r="H12" s="429">
        <f t="shared" si="1"/>
        <v>5.4034053707921775E-2</v>
      </c>
      <c r="K12" s="391"/>
      <c r="L12" s="391"/>
    </row>
    <row r="13" spans="2:12" s="170" customFormat="1" ht="21" customHeight="1">
      <c r="B13" s="159" t="s">
        <v>132</v>
      </c>
      <c r="C13" s="160"/>
      <c r="D13" s="442">
        <f>+[3]Flujo!D13</f>
        <v>-92656</v>
      </c>
      <c r="E13" s="442">
        <f>+[3]Flujo!E13</f>
        <v>-2572938</v>
      </c>
      <c r="F13" s="169"/>
      <c r="G13" s="397">
        <f t="shared" si="0"/>
        <v>2480282</v>
      </c>
      <c r="H13" s="429">
        <f t="shared" si="1"/>
        <v>-0.9639882500083562</v>
      </c>
      <c r="K13" s="391"/>
      <c r="L13" s="391"/>
    </row>
    <row r="14" spans="2:12" s="170" customFormat="1" ht="21" customHeight="1">
      <c r="B14" s="159" t="s">
        <v>133</v>
      </c>
      <c r="C14" s="160"/>
      <c r="D14" s="442">
        <f>+[3]Flujo!D14</f>
        <v>-42416053</v>
      </c>
      <c r="E14" s="442">
        <f>+[3]Flujo!E14</f>
        <v>-44324296</v>
      </c>
      <c r="F14" s="169"/>
      <c r="G14" s="397">
        <f t="shared" si="0"/>
        <v>1908243</v>
      </c>
      <c r="H14" s="429">
        <f t="shared" si="1"/>
        <v>-4.3051851291670828E-2</v>
      </c>
      <c r="K14" s="391"/>
      <c r="L14" s="391"/>
    </row>
    <row r="15" spans="2:12" s="170" customFormat="1" ht="21" customHeight="1">
      <c r="B15" s="161" t="s">
        <v>179</v>
      </c>
      <c r="C15" s="160"/>
      <c r="D15" s="443">
        <f>SUM(D10:D14)</f>
        <v>-291735972</v>
      </c>
      <c r="E15" s="444">
        <f>SUM(E10:E14)</f>
        <v>-285933436</v>
      </c>
      <c r="F15" s="169"/>
      <c r="G15" s="398">
        <f t="shared" si="0"/>
        <v>-5802536</v>
      </c>
      <c r="H15" s="431">
        <f t="shared" si="1"/>
        <v>2.0293310503217959E-2</v>
      </c>
      <c r="K15" s="391"/>
      <c r="L15" s="391"/>
    </row>
    <row r="16" spans="2:12" s="170" customFormat="1" ht="21" hidden="1" customHeight="1">
      <c r="B16" s="159" t="s">
        <v>134</v>
      </c>
      <c r="C16" s="160"/>
      <c r="D16" s="442">
        <f>+[3]Flujo!D16</f>
        <v>0</v>
      </c>
      <c r="E16" s="442">
        <f>+[3]Flujo!E16</f>
        <v>0</v>
      </c>
      <c r="F16" s="169"/>
      <c r="G16" s="397"/>
      <c r="H16" s="429">
        <f t="shared" si="1"/>
        <v>1</v>
      </c>
      <c r="K16" s="391"/>
      <c r="L16" s="391"/>
    </row>
    <row r="17" spans="2:12" s="170" customFormat="1" ht="21" hidden="1" customHeight="1">
      <c r="B17" s="159" t="s">
        <v>135</v>
      </c>
      <c r="C17" s="160"/>
      <c r="D17" s="442">
        <f>+[3]Flujo!D17</f>
        <v>0</v>
      </c>
      <c r="E17" s="442">
        <f>+[3]Flujo!E17</f>
        <v>0</v>
      </c>
      <c r="F17" s="169"/>
      <c r="G17" s="397"/>
      <c r="H17" s="429">
        <f t="shared" si="1"/>
        <v>1</v>
      </c>
      <c r="K17" s="391"/>
      <c r="L17" s="391"/>
    </row>
    <row r="18" spans="2:12" s="170" customFormat="1" ht="21" customHeight="1">
      <c r="B18" s="159" t="s">
        <v>136</v>
      </c>
      <c r="C18" s="160"/>
      <c r="D18" s="442">
        <f>+[3]Flujo!D18</f>
        <v>-25261603</v>
      </c>
      <c r="E18" s="442">
        <f>+[3]Flujo!E18</f>
        <v>-22015973</v>
      </c>
      <c r="F18" s="169"/>
      <c r="G18" s="397">
        <f t="shared" si="0"/>
        <v>-3245630</v>
      </c>
      <c r="H18" s="429">
        <f t="shared" si="1"/>
        <v>0.14742160157990747</v>
      </c>
      <c r="K18" s="391"/>
      <c r="L18" s="391"/>
    </row>
    <row r="19" spans="2:12" s="170" customFormat="1" ht="21" customHeight="1">
      <c r="B19" s="159" t="s">
        <v>137</v>
      </c>
      <c r="C19" s="160"/>
      <c r="D19" s="442">
        <f>+[3]Flujo!D19</f>
        <v>804041</v>
      </c>
      <c r="E19" s="442">
        <f>+[3]Flujo!E19</f>
        <v>824207</v>
      </c>
      <c r="F19" s="169"/>
      <c r="G19" s="397">
        <f t="shared" si="0"/>
        <v>-20166</v>
      </c>
      <c r="H19" s="429">
        <f t="shared" si="1"/>
        <v>-2.446715448910286E-2</v>
      </c>
      <c r="K19" s="391"/>
      <c r="L19" s="391"/>
    </row>
    <row r="20" spans="2:12" s="170" customFormat="1" ht="21" customHeight="1">
      <c r="B20" s="159" t="s">
        <v>189</v>
      </c>
      <c r="C20" s="160"/>
      <c r="D20" s="442">
        <f>+[3]Flujo!D20</f>
        <v>-47954637</v>
      </c>
      <c r="E20" s="442">
        <f>+[3]Flujo!E20</f>
        <v>-48277458</v>
      </c>
      <c r="F20" s="169"/>
      <c r="G20" s="397">
        <f t="shared" si="0"/>
        <v>322821</v>
      </c>
      <c r="H20" s="429">
        <f t="shared" si="1"/>
        <v>-6.6867853729995477E-3</v>
      </c>
      <c r="K20" s="391"/>
      <c r="L20" s="391"/>
    </row>
    <row r="21" spans="2:12" s="170" customFormat="1" ht="21" customHeight="1">
      <c r="B21" s="159" t="s">
        <v>155</v>
      </c>
      <c r="C21" s="160"/>
      <c r="D21" s="442">
        <f>+[3]Flujo!D21</f>
        <v>-7245040</v>
      </c>
      <c r="E21" s="442">
        <f>+[3]Flujo!E21</f>
        <v>-2541669</v>
      </c>
      <c r="F21" s="169"/>
      <c r="G21" s="397">
        <f t="shared" si="0"/>
        <v>-4703371</v>
      </c>
      <c r="H21" s="429">
        <f t="shared" si="1"/>
        <v>1.8505049241266269</v>
      </c>
      <c r="K21" s="391"/>
      <c r="L21" s="391"/>
    </row>
    <row r="22" spans="2:12" s="170" customFormat="1" ht="21" customHeight="1" thickBot="1">
      <c r="B22" s="161" t="s">
        <v>270</v>
      </c>
      <c r="C22" s="160"/>
      <c r="D22" s="444">
        <f>SUM(D16:D21)</f>
        <v>-79657239</v>
      </c>
      <c r="E22" s="444">
        <f>SUM(E16:E21)</f>
        <v>-72010893</v>
      </c>
      <c r="F22" s="169"/>
      <c r="G22" s="398">
        <f t="shared" si="0"/>
        <v>-7646346</v>
      </c>
      <c r="H22" s="431">
        <f t="shared" si="1"/>
        <v>0.10618318536891357</v>
      </c>
      <c r="K22" s="391"/>
      <c r="L22" s="391"/>
    </row>
    <row r="23" spans="2:12" s="170" customFormat="1" ht="21" hidden="1" customHeight="1" thickBot="1">
      <c r="B23" s="159" t="s">
        <v>269</v>
      </c>
      <c r="C23" s="160"/>
      <c r="D23" s="442">
        <f>+[3]Flujo!D23</f>
        <v>0</v>
      </c>
      <c r="E23" s="442">
        <f>+[3]Flujo!E23</f>
        <v>0</v>
      </c>
      <c r="F23" s="169"/>
      <c r="G23" s="397">
        <f t="shared" ref="G23" si="2">ROUND(+(D23-E23),0)</f>
        <v>0</v>
      </c>
      <c r="H23" s="429">
        <f t="shared" ref="H23" si="3">+IFERROR(G23/E23,1)</f>
        <v>1</v>
      </c>
      <c r="K23" s="391"/>
      <c r="L23" s="391"/>
    </row>
    <row r="24" spans="2:12" s="170" customFormat="1" ht="21" customHeight="1" thickBot="1">
      <c r="B24" s="172" t="s">
        <v>271</v>
      </c>
      <c r="C24" s="173"/>
      <c r="D24" s="445">
        <f>+D9+D15+D22+D23</f>
        <v>185293280</v>
      </c>
      <c r="E24" s="445">
        <f>+E9+E15+E22+E23</f>
        <v>220759469</v>
      </c>
      <c r="F24" s="169"/>
      <c r="G24" s="421">
        <f t="shared" si="0"/>
        <v>-35466189</v>
      </c>
      <c r="H24" s="432">
        <f t="shared" si="1"/>
        <v>-0.16065534656635724</v>
      </c>
      <c r="K24" s="391"/>
      <c r="L24" s="391"/>
    </row>
    <row r="25" spans="2:12" s="170" customFormat="1" ht="21" customHeight="1">
      <c r="B25" s="171" t="s">
        <v>138</v>
      </c>
      <c r="C25" s="168"/>
      <c r="D25" s="442">
        <f>+[3]Flujo!D25</f>
        <v>73499770</v>
      </c>
      <c r="E25" s="442">
        <f>+[3]Flujo!E25</f>
        <v>0</v>
      </c>
      <c r="F25" s="169"/>
      <c r="G25" s="397">
        <f t="shared" si="0"/>
        <v>73499770</v>
      </c>
      <c r="H25" s="429">
        <f t="shared" si="1"/>
        <v>1</v>
      </c>
      <c r="K25" s="391"/>
      <c r="L25" s="391"/>
    </row>
    <row r="26" spans="2:12" s="170" customFormat="1" ht="21" hidden="1" customHeight="1">
      <c r="B26" s="171" t="s">
        <v>139</v>
      </c>
      <c r="C26" s="168"/>
      <c r="D26" s="442">
        <f>+[3]Flujo!D26</f>
        <v>0</v>
      </c>
      <c r="E26" s="442">
        <f>+[3]Flujo!E26</f>
        <v>0</v>
      </c>
      <c r="F26" s="169"/>
      <c r="G26" s="397">
        <f t="shared" si="0"/>
        <v>0</v>
      </c>
      <c r="H26" s="429">
        <f t="shared" si="1"/>
        <v>1</v>
      </c>
      <c r="K26" s="391"/>
      <c r="L26" s="391"/>
    </row>
    <row r="27" spans="2:12" s="170" customFormat="1" ht="21" hidden="1" customHeight="1">
      <c r="B27" s="171" t="s">
        <v>140</v>
      </c>
      <c r="C27" s="168"/>
      <c r="D27" s="442">
        <f>+[3]Flujo!D27</f>
        <v>0</v>
      </c>
      <c r="E27" s="442">
        <f>+[3]Flujo!E27</f>
        <v>0</v>
      </c>
      <c r="F27" s="169"/>
      <c r="G27" s="397">
        <f t="shared" si="0"/>
        <v>0</v>
      </c>
      <c r="H27" s="429">
        <f t="shared" si="1"/>
        <v>1</v>
      </c>
      <c r="K27" s="391"/>
      <c r="L27" s="391"/>
    </row>
    <row r="28" spans="2:12" s="170" customFormat="1" ht="21" hidden="1" customHeight="1">
      <c r="B28" s="171" t="s">
        <v>141</v>
      </c>
      <c r="C28" s="168"/>
      <c r="D28" s="442">
        <f>+[3]Flujo!D28</f>
        <v>0</v>
      </c>
      <c r="E28" s="442">
        <f>+[3]Flujo!E28</f>
        <v>0</v>
      </c>
      <c r="F28" s="169"/>
      <c r="G28" s="397">
        <f t="shared" si="0"/>
        <v>0</v>
      </c>
      <c r="H28" s="429">
        <f t="shared" si="1"/>
        <v>1</v>
      </c>
      <c r="K28" s="391"/>
      <c r="L28" s="391"/>
    </row>
    <row r="29" spans="2:12" s="170" customFormat="1" ht="21" hidden="1" customHeight="1">
      <c r="B29" s="171" t="s">
        <v>142</v>
      </c>
      <c r="C29" s="168"/>
      <c r="D29" s="442">
        <f>+[3]Flujo!D29</f>
        <v>0</v>
      </c>
      <c r="E29" s="442">
        <f>+[3]Flujo!E29</f>
        <v>0</v>
      </c>
      <c r="F29" s="169"/>
      <c r="G29" s="397">
        <f t="shared" si="0"/>
        <v>0</v>
      </c>
      <c r="H29" s="429">
        <f t="shared" si="1"/>
        <v>1</v>
      </c>
      <c r="K29" s="391"/>
      <c r="L29" s="391"/>
    </row>
    <row r="30" spans="2:12" s="170" customFormat="1" ht="21" hidden="1" customHeight="1">
      <c r="B30" s="171" t="s">
        <v>143</v>
      </c>
      <c r="C30" s="168"/>
      <c r="D30" s="442">
        <f>+[3]Flujo!D30</f>
        <v>0</v>
      </c>
      <c r="E30" s="442">
        <f>+[3]Flujo!E30</f>
        <v>0</v>
      </c>
      <c r="F30" s="169"/>
      <c r="G30" s="397">
        <f t="shared" si="0"/>
        <v>0</v>
      </c>
      <c r="H30" s="429">
        <f t="shared" si="1"/>
        <v>1</v>
      </c>
      <c r="K30" s="391"/>
      <c r="L30" s="391"/>
    </row>
    <row r="31" spans="2:12" s="170" customFormat="1" ht="21" hidden="1" customHeight="1">
      <c r="B31" s="171" t="s">
        <v>144</v>
      </c>
      <c r="C31" s="168"/>
      <c r="D31" s="442">
        <f>+[3]Flujo!D31</f>
        <v>0</v>
      </c>
      <c r="E31" s="442">
        <f>+[3]Flujo!E31</f>
        <v>0</v>
      </c>
      <c r="F31" s="169"/>
      <c r="G31" s="397">
        <f t="shared" si="0"/>
        <v>0</v>
      </c>
      <c r="H31" s="429">
        <f t="shared" si="1"/>
        <v>1</v>
      </c>
      <c r="K31" s="391"/>
      <c r="L31" s="391"/>
    </row>
    <row r="32" spans="2:12" s="170" customFormat="1" ht="21" hidden="1" customHeight="1">
      <c r="B32" s="171" t="s">
        <v>145</v>
      </c>
      <c r="C32" s="168"/>
      <c r="D32" s="442">
        <f>+[3]Flujo!D32</f>
        <v>0</v>
      </c>
      <c r="E32" s="442">
        <f>+[3]Flujo!E32</f>
        <v>0</v>
      </c>
      <c r="F32" s="169"/>
      <c r="G32" s="397">
        <f t="shared" si="0"/>
        <v>0</v>
      </c>
      <c r="H32" s="429">
        <f t="shared" si="1"/>
        <v>1</v>
      </c>
      <c r="K32" s="391"/>
      <c r="L32" s="391"/>
    </row>
    <row r="33" spans="2:12" s="170" customFormat="1" ht="21" customHeight="1">
      <c r="B33" s="394" t="s">
        <v>247</v>
      </c>
      <c r="C33" s="168"/>
      <c r="D33" s="442">
        <f>+[3]Flujo!D33</f>
        <v>547871</v>
      </c>
      <c r="E33" s="442">
        <f>+[3]Flujo!E33</f>
        <v>18206781</v>
      </c>
      <c r="F33" s="169"/>
      <c r="G33" s="397">
        <f t="shared" si="0"/>
        <v>-17658910</v>
      </c>
      <c r="H33" s="429">
        <f t="shared" si="1"/>
        <v>-0.96990840939977252</v>
      </c>
      <c r="K33" s="391"/>
      <c r="L33" s="391"/>
    </row>
    <row r="34" spans="2:12" s="170" customFormat="1" ht="21" customHeight="1">
      <c r="B34" s="171" t="s">
        <v>146</v>
      </c>
      <c r="C34" s="168"/>
      <c r="D34" s="442">
        <f>+[3]Flujo!D34</f>
        <v>-152419211</v>
      </c>
      <c r="E34" s="442">
        <f>+[3]Flujo!E34</f>
        <v>-125868435</v>
      </c>
      <c r="F34" s="169"/>
      <c r="G34" s="397">
        <f t="shared" si="0"/>
        <v>-26550776</v>
      </c>
      <c r="H34" s="429">
        <f t="shared" si="1"/>
        <v>0.21094070169379639</v>
      </c>
      <c r="K34" s="391"/>
      <c r="L34" s="391"/>
    </row>
    <row r="35" spans="2:12" s="170" customFormat="1" ht="21" hidden="1" customHeight="1">
      <c r="B35" s="171" t="s">
        <v>190</v>
      </c>
      <c r="C35" s="168"/>
      <c r="D35" s="442">
        <f>+[3]Flujo!D35</f>
        <v>0</v>
      </c>
      <c r="E35" s="442">
        <f>+[3]Flujo!E35</f>
        <v>0</v>
      </c>
      <c r="F35" s="169"/>
      <c r="G35" s="397">
        <f t="shared" si="0"/>
        <v>0</v>
      </c>
      <c r="H35" s="429">
        <f t="shared" si="1"/>
        <v>1</v>
      </c>
      <c r="K35" s="391"/>
      <c r="L35" s="391"/>
    </row>
    <row r="36" spans="2:12" s="170" customFormat="1" ht="21" customHeight="1">
      <c r="B36" s="171" t="s">
        <v>147</v>
      </c>
      <c r="C36" s="168"/>
      <c r="D36" s="442">
        <f>+[3]Flujo!D36</f>
        <v>0</v>
      </c>
      <c r="E36" s="442">
        <f>+[3]Flujo!E36</f>
        <v>-12455</v>
      </c>
      <c r="F36" s="169"/>
      <c r="G36" s="397">
        <f t="shared" si="0"/>
        <v>12455</v>
      </c>
      <c r="H36" s="429">
        <f t="shared" si="1"/>
        <v>-1</v>
      </c>
      <c r="K36" s="391"/>
      <c r="L36" s="391"/>
    </row>
    <row r="37" spans="2:12" s="170" customFormat="1" ht="21" hidden="1" customHeight="1">
      <c r="B37" s="171" t="s">
        <v>180</v>
      </c>
      <c r="C37" s="168"/>
      <c r="D37" s="442">
        <f>+[3]Flujo!D37</f>
        <v>0</v>
      </c>
      <c r="E37" s="442">
        <f>+[3]Flujo!E37</f>
        <v>0</v>
      </c>
      <c r="F37" s="169"/>
      <c r="G37" s="397">
        <f t="shared" si="0"/>
        <v>0</v>
      </c>
      <c r="H37" s="429">
        <f t="shared" si="1"/>
        <v>1</v>
      </c>
      <c r="K37" s="391"/>
      <c r="L37" s="391"/>
    </row>
    <row r="38" spans="2:12" s="170" customFormat="1" ht="21" hidden="1" customHeight="1">
      <c r="B38" s="171" t="s">
        <v>148</v>
      </c>
      <c r="C38" s="168"/>
      <c r="D38" s="442">
        <f>+[3]Flujo!D38</f>
        <v>0</v>
      </c>
      <c r="E38" s="442">
        <f>+[3]Flujo!E38</f>
        <v>0</v>
      </c>
      <c r="F38" s="169"/>
      <c r="G38" s="397">
        <f t="shared" si="0"/>
        <v>0</v>
      </c>
      <c r="H38" s="429">
        <f t="shared" si="1"/>
        <v>1</v>
      </c>
      <c r="K38" s="391"/>
      <c r="L38" s="391"/>
    </row>
    <row r="39" spans="2:12" s="170" customFormat="1" ht="21" hidden="1" customHeight="1">
      <c r="B39" s="171" t="s">
        <v>149</v>
      </c>
      <c r="C39" s="168"/>
      <c r="D39" s="442">
        <f>+[3]Flujo!D39</f>
        <v>0</v>
      </c>
      <c r="E39" s="442">
        <f>+[3]Flujo!E39</f>
        <v>0</v>
      </c>
      <c r="F39" s="169"/>
      <c r="G39" s="397">
        <f t="shared" si="0"/>
        <v>0</v>
      </c>
      <c r="H39" s="429">
        <f t="shared" si="1"/>
        <v>1</v>
      </c>
      <c r="K39" s="391"/>
      <c r="L39" s="391"/>
    </row>
    <row r="40" spans="2:12" s="170" customFormat="1" ht="21" hidden="1" customHeight="1">
      <c r="B40" s="171" t="s">
        <v>150</v>
      </c>
      <c r="C40" s="168"/>
      <c r="D40" s="442">
        <f>+[3]Flujo!D40</f>
        <v>0</v>
      </c>
      <c r="E40" s="442">
        <f>+[3]Flujo!E40</f>
        <v>0</v>
      </c>
      <c r="F40" s="169"/>
      <c r="G40" s="397">
        <f t="shared" si="0"/>
        <v>0</v>
      </c>
      <c r="H40" s="429">
        <f t="shared" si="1"/>
        <v>1</v>
      </c>
      <c r="K40" s="391"/>
      <c r="L40" s="391"/>
    </row>
    <row r="41" spans="2:12" s="170" customFormat="1" ht="21" hidden="1" customHeight="1">
      <c r="B41" s="171" t="s">
        <v>151</v>
      </c>
      <c r="C41" s="168"/>
      <c r="D41" s="442">
        <f>+[3]Flujo!D41</f>
        <v>0</v>
      </c>
      <c r="E41" s="442">
        <f>+[3]Flujo!E41</f>
        <v>0</v>
      </c>
      <c r="F41" s="169"/>
      <c r="G41" s="397">
        <f t="shared" si="0"/>
        <v>0</v>
      </c>
      <c r="H41" s="429">
        <f t="shared" si="1"/>
        <v>1</v>
      </c>
      <c r="K41" s="391"/>
      <c r="L41" s="391"/>
    </row>
    <row r="42" spans="2:12" s="170" customFormat="1" ht="21" hidden="1" customHeight="1">
      <c r="B42" s="171" t="s">
        <v>152</v>
      </c>
      <c r="C42" s="168"/>
      <c r="D42" s="442">
        <f>+[3]Flujo!D42</f>
        <v>0</v>
      </c>
      <c r="E42" s="442">
        <f>+[3]Flujo!E42</f>
        <v>0</v>
      </c>
      <c r="F42" s="169"/>
      <c r="G42" s="397">
        <f t="shared" si="0"/>
        <v>0</v>
      </c>
      <c r="H42" s="429">
        <f t="shared" si="1"/>
        <v>1</v>
      </c>
      <c r="K42" s="391"/>
      <c r="L42" s="391"/>
    </row>
    <row r="43" spans="2:12" s="170" customFormat="1" ht="21" hidden="1" customHeight="1">
      <c r="B43" s="171" t="s">
        <v>153</v>
      </c>
      <c r="C43" s="168"/>
      <c r="D43" s="442">
        <f>+[3]Flujo!D43</f>
        <v>0</v>
      </c>
      <c r="E43" s="442">
        <f>+[3]Flujo!E43</f>
        <v>0</v>
      </c>
      <c r="F43" s="169"/>
      <c r="G43" s="397">
        <f t="shared" si="0"/>
        <v>0</v>
      </c>
      <c r="H43" s="429">
        <f t="shared" si="1"/>
        <v>1</v>
      </c>
      <c r="K43" s="391"/>
      <c r="L43" s="391"/>
    </row>
    <row r="44" spans="2:12" s="170" customFormat="1" ht="21" hidden="1" customHeight="1">
      <c r="B44" s="171" t="s">
        <v>181</v>
      </c>
      <c r="C44" s="168"/>
      <c r="D44" s="442">
        <f>+[3]Flujo!D44</f>
        <v>0</v>
      </c>
      <c r="E44" s="442">
        <f>+[3]Flujo!E44</f>
        <v>0</v>
      </c>
      <c r="F44" s="169"/>
      <c r="G44" s="397">
        <f t="shared" si="0"/>
        <v>0</v>
      </c>
      <c r="H44" s="429">
        <f t="shared" si="1"/>
        <v>1</v>
      </c>
      <c r="K44" s="391"/>
      <c r="L44" s="391"/>
    </row>
    <row r="45" spans="2:12" s="170" customFormat="1" ht="21" hidden="1" customHeight="1">
      <c r="B45" s="171" t="s">
        <v>135</v>
      </c>
      <c r="C45" s="168"/>
      <c r="D45" s="442">
        <f>+[3]Flujo!D45</f>
        <v>0</v>
      </c>
      <c r="E45" s="442">
        <f>+[3]Flujo!E45</f>
        <v>0</v>
      </c>
      <c r="F45" s="169"/>
      <c r="G45" s="397">
        <f t="shared" si="0"/>
        <v>0</v>
      </c>
      <c r="H45" s="429">
        <f t="shared" si="1"/>
        <v>1</v>
      </c>
      <c r="K45" s="391"/>
      <c r="L45" s="391"/>
    </row>
    <row r="46" spans="2:12" s="170" customFormat="1" ht="21" hidden="1" customHeight="1">
      <c r="B46" s="171" t="s">
        <v>137</v>
      </c>
      <c r="C46" s="168"/>
      <c r="D46" s="442">
        <f>+[3]Flujo!D46</f>
        <v>0</v>
      </c>
      <c r="E46" s="442">
        <f>+[3]Flujo!E46</f>
        <v>0</v>
      </c>
      <c r="F46" s="169"/>
      <c r="G46" s="397">
        <f t="shared" si="0"/>
        <v>0</v>
      </c>
      <c r="H46" s="429">
        <f t="shared" si="1"/>
        <v>1</v>
      </c>
      <c r="K46" s="391"/>
      <c r="L46" s="391"/>
    </row>
    <row r="47" spans="2:12" s="170" customFormat="1" ht="21" hidden="1" customHeight="1">
      <c r="B47" s="171" t="s">
        <v>154</v>
      </c>
      <c r="C47" s="168"/>
      <c r="D47" s="442">
        <f>+[3]Flujo!D47</f>
        <v>0</v>
      </c>
      <c r="E47" s="442">
        <f>+[3]Flujo!E47</f>
        <v>0</v>
      </c>
      <c r="F47" s="169"/>
      <c r="G47" s="397">
        <f t="shared" si="0"/>
        <v>0</v>
      </c>
      <c r="H47" s="429">
        <f t="shared" si="1"/>
        <v>1</v>
      </c>
      <c r="K47" s="391"/>
      <c r="L47" s="391"/>
    </row>
    <row r="48" spans="2:12" s="170" customFormat="1" ht="21" customHeight="1" thickBot="1">
      <c r="B48" s="171" t="s">
        <v>155</v>
      </c>
      <c r="C48" s="168"/>
      <c r="D48" s="442">
        <f>+[3]Flujo!D48</f>
        <v>0</v>
      </c>
      <c r="E48" s="442">
        <f>+[3]Flujo!E48</f>
        <v>-2020253</v>
      </c>
      <c r="F48" s="169"/>
      <c r="G48" s="397">
        <f t="shared" si="0"/>
        <v>2020253</v>
      </c>
      <c r="H48" s="429">
        <f t="shared" si="1"/>
        <v>-1</v>
      </c>
      <c r="K48" s="391"/>
      <c r="L48" s="391"/>
    </row>
    <row r="49" spans="2:12" s="170" customFormat="1" ht="21" hidden="1" customHeight="1" thickBot="1">
      <c r="B49" s="171" t="s">
        <v>275</v>
      </c>
      <c r="C49" s="168"/>
      <c r="D49" s="442">
        <f>+[3]Flujo!D49</f>
        <v>0</v>
      </c>
      <c r="E49" s="442">
        <f>+[3]Flujo!E49</f>
        <v>0</v>
      </c>
      <c r="F49" s="169"/>
      <c r="G49" s="397">
        <f t="shared" ref="G49" si="4">ROUND(+(D49-E49),0)</f>
        <v>0</v>
      </c>
      <c r="H49" s="429">
        <f t="shared" ref="H49" si="5">+IFERROR(G49/E49,1)</f>
        <v>1</v>
      </c>
      <c r="K49" s="391"/>
      <c r="L49" s="391"/>
    </row>
    <row r="50" spans="2:12" s="170" customFormat="1" ht="21" customHeight="1" thickBot="1">
      <c r="B50" s="172" t="s">
        <v>182</v>
      </c>
      <c r="C50" s="173"/>
      <c r="D50" s="445">
        <f>SUM(D25:D49)</f>
        <v>-78371570</v>
      </c>
      <c r="E50" s="445">
        <f>SUM(E25:E49)</f>
        <v>-109694362</v>
      </c>
      <c r="F50" s="169"/>
      <c r="G50" s="421">
        <f t="shared" si="0"/>
        <v>31322792</v>
      </c>
      <c r="H50" s="432">
        <f t="shared" si="1"/>
        <v>-0.28554605203866357</v>
      </c>
      <c r="K50" s="391"/>
      <c r="L50" s="391"/>
    </row>
    <row r="51" spans="2:12" s="170" customFormat="1" ht="21" hidden="1" customHeight="1">
      <c r="B51" s="171" t="s">
        <v>156</v>
      </c>
      <c r="C51" s="168"/>
      <c r="D51" s="442">
        <f>+[3]Flujo!D51</f>
        <v>0</v>
      </c>
      <c r="E51" s="442">
        <f>+[3]Flujo!E51</f>
        <v>0</v>
      </c>
      <c r="F51" s="169"/>
      <c r="G51" s="397">
        <f t="shared" si="0"/>
        <v>0</v>
      </c>
      <c r="H51" s="429">
        <f t="shared" si="1"/>
        <v>1</v>
      </c>
      <c r="K51" s="391"/>
      <c r="L51" s="391"/>
    </row>
    <row r="52" spans="2:12" s="170" customFormat="1" ht="21" hidden="1" customHeight="1">
      <c r="B52" s="171" t="s">
        <v>157</v>
      </c>
      <c r="C52" s="168"/>
      <c r="D52" s="442">
        <f>+[3]Flujo!D52</f>
        <v>0</v>
      </c>
      <c r="E52" s="442">
        <f>+[3]Flujo!E52</f>
        <v>0</v>
      </c>
      <c r="F52" s="169"/>
      <c r="G52" s="397">
        <f t="shared" si="0"/>
        <v>0</v>
      </c>
      <c r="H52" s="429">
        <f t="shared" si="1"/>
        <v>1</v>
      </c>
      <c r="K52" s="391"/>
      <c r="L52" s="391"/>
    </row>
    <row r="53" spans="2:12" s="170" customFormat="1" ht="21" hidden="1" customHeight="1">
      <c r="B53" s="171" t="s">
        <v>158</v>
      </c>
      <c r="C53" s="168"/>
      <c r="D53" s="442">
        <f>+[3]Flujo!D53</f>
        <v>0</v>
      </c>
      <c r="E53" s="442">
        <f>+[3]Flujo!E53</f>
        <v>0</v>
      </c>
      <c r="F53" s="169"/>
      <c r="G53" s="397">
        <f t="shared" si="0"/>
        <v>0</v>
      </c>
      <c r="H53" s="429">
        <f t="shared" si="1"/>
        <v>1</v>
      </c>
      <c r="K53" s="391"/>
      <c r="L53" s="391"/>
    </row>
    <row r="54" spans="2:12" s="170" customFormat="1" ht="21" hidden="1" customHeight="1">
      <c r="B54" s="171" t="s">
        <v>159</v>
      </c>
      <c r="C54" s="168"/>
      <c r="D54" s="442">
        <f>+[3]Flujo!D54</f>
        <v>0</v>
      </c>
      <c r="E54" s="442">
        <f>+[3]Flujo!E54</f>
        <v>0</v>
      </c>
      <c r="F54" s="169"/>
      <c r="G54" s="397">
        <f t="shared" si="0"/>
        <v>0</v>
      </c>
      <c r="H54" s="429">
        <f t="shared" si="1"/>
        <v>1</v>
      </c>
      <c r="K54" s="391"/>
      <c r="L54" s="391"/>
    </row>
    <row r="55" spans="2:12" s="170" customFormat="1" ht="21" customHeight="1">
      <c r="B55" s="171" t="s">
        <v>160</v>
      </c>
      <c r="C55" s="168"/>
      <c r="D55" s="442">
        <f>+[3]Flujo!D55</f>
        <v>11537028</v>
      </c>
      <c r="E55" s="442">
        <f>+[3]Flujo!E55</f>
        <v>79221040</v>
      </c>
      <c r="F55" s="169"/>
      <c r="G55" s="397">
        <f t="shared" si="0"/>
        <v>-67684012</v>
      </c>
      <c r="H55" s="429">
        <f t="shared" si="1"/>
        <v>-0.85436914233895445</v>
      </c>
      <c r="K55" s="391"/>
      <c r="L55" s="391"/>
    </row>
    <row r="56" spans="2:12" s="170" customFormat="1" ht="21" customHeight="1">
      <c r="B56" s="171" t="s">
        <v>161</v>
      </c>
      <c r="C56" s="168"/>
      <c r="D56" s="442">
        <f>+[3]Flujo!D56</f>
        <v>133300000</v>
      </c>
      <c r="E56" s="442">
        <f>+[3]Flujo!E56</f>
        <v>57284683</v>
      </c>
      <c r="F56" s="169"/>
      <c r="G56" s="397">
        <f t="shared" si="0"/>
        <v>76015317</v>
      </c>
      <c r="H56" s="429">
        <f t="shared" si="1"/>
        <v>1.3269745596741802</v>
      </c>
      <c r="K56" s="391"/>
      <c r="L56" s="391"/>
    </row>
    <row r="57" spans="2:12" s="170" customFormat="1" ht="21" customHeight="1">
      <c r="B57" s="388" t="s">
        <v>272</v>
      </c>
      <c r="C57" s="168"/>
      <c r="D57" s="446">
        <f>+D55+D56</f>
        <v>144837028</v>
      </c>
      <c r="E57" s="447">
        <f>+E55+E56</f>
        <v>136505723</v>
      </c>
      <c r="F57" s="169"/>
      <c r="G57" s="398">
        <f t="shared" si="0"/>
        <v>8331305</v>
      </c>
      <c r="H57" s="433">
        <f t="shared" si="1"/>
        <v>6.1032642565469579E-2</v>
      </c>
      <c r="K57" s="391"/>
      <c r="L57" s="391"/>
    </row>
    <row r="58" spans="2:12" s="170" customFormat="1" ht="21" hidden="1" customHeight="1">
      <c r="B58" s="171" t="s">
        <v>162</v>
      </c>
      <c r="C58" s="168"/>
      <c r="D58" s="442">
        <f>+[3]Flujo!D58</f>
        <v>0</v>
      </c>
      <c r="E58" s="442">
        <f>+[3]Flujo!E58</f>
        <v>0</v>
      </c>
      <c r="F58" s="169"/>
      <c r="G58" s="397">
        <f t="shared" si="0"/>
        <v>0</v>
      </c>
      <c r="H58" s="429">
        <f t="shared" si="1"/>
        <v>1</v>
      </c>
      <c r="K58" s="391"/>
      <c r="L58" s="391"/>
    </row>
    <row r="59" spans="2:12" s="170" customFormat="1" ht="21" customHeight="1">
      <c r="B59" s="171" t="s">
        <v>183</v>
      </c>
      <c r="C59" s="168"/>
      <c r="D59" s="442">
        <f>+[3]Flujo!D59</f>
        <v>-41556496</v>
      </c>
      <c r="E59" s="442">
        <f>+[3]Flujo!E59</f>
        <v>-86960055</v>
      </c>
      <c r="F59" s="169"/>
      <c r="G59" s="397">
        <f t="shared" si="0"/>
        <v>45403559</v>
      </c>
      <c r="H59" s="430">
        <f t="shared" si="1"/>
        <v>-0.52211971347074237</v>
      </c>
      <c r="K59" s="391"/>
      <c r="L59" s="391"/>
    </row>
    <row r="60" spans="2:12" s="170" customFormat="1" ht="21" hidden="1" customHeight="1">
      <c r="B60" s="171" t="s">
        <v>163</v>
      </c>
      <c r="C60" s="168"/>
      <c r="D60" s="442">
        <f>+[3]Flujo!D60</f>
        <v>0</v>
      </c>
      <c r="E60" s="442">
        <f>+[3]Flujo!E60</f>
        <v>0</v>
      </c>
      <c r="F60" s="169"/>
      <c r="G60" s="397">
        <f t="shared" si="0"/>
        <v>0</v>
      </c>
      <c r="H60" s="430">
        <f t="shared" si="1"/>
        <v>1</v>
      </c>
      <c r="K60" s="391"/>
      <c r="L60" s="391"/>
    </row>
    <row r="61" spans="2:12" s="170" customFormat="1" ht="21" hidden="1" customHeight="1">
      <c r="B61" s="171" t="s">
        <v>164</v>
      </c>
      <c r="C61" s="168"/>
      <c r="D61" s="442">
        <f>+[3]Flujo!D61</f>
        <v>0</v>
      </c>
      <c r="E61" s="442">
        <f>+[3]Flujo!E61</f>
        <v>0</v>
      </c>
      <c r="F61" s="169"/>
      <c r="G61" s="397">
        <f t="shared" si="0"/>
        <v>0</v>
      </c>
      <c r="H61" s="430">
        <f t="shared" si="1"/>
        <v>1</v>
      </c>
      <c r="K61" s="391"/>
      <c r="L61" s="391"/>
    </row>
    <row r="62" spans="2:12" s="170" customFormat="1" ht="21" hidden="1" customHeight="1">
      <c r="B62" s="171" t="s">
        <v>149</v>
      </c>
      <c r="C62" s="168"/>
      <c r="D62" s="442">
        <f>+[3]Flujo!D62</f>
        <v>0</v>
      </c>
      <c r="E62" s="442">
        <f>+[3]Flujo!E62</f>
        <v>0</v>
      </c>
      <c r="F62" s="169"/>
      <c r="G62" s="397">
        <f t="shared" si="0"/>
        <v>0</v>
      </c>
      <c r="H62" s="430">
        <f t="shared" si="1"/>
        <v>1</v>
      </c>
      <c r="K62" s="391"/>
      <c r="L62" s="391"/>
    </row>
    <row r="63" spans="2:12" s="170" customFormat="1" ht="21" customHeight="1">
      <c r="B63" s="394" t="s">
        <v>134</v>
      </c>
      <c r="C63" s="168"/>
      <c r="D63" s="442">
        <f>+[3]Flujo!D63</f>
        <v>-106199425</v>
      </c>
      <c r="E63" s="442">
        <f>+[3]Flujo!E63</f>
        <v>-127075487</v>
      </c>
      <c r="F63" s="169"/>
      <c r="G63" s="397">
        <f t="shared" si="0"/>
        <v>20876062</v>
      </c>
      <c r="H63" s="430">
        <f t="shared" si="1"/>
        <v>-0.16428079476886048</v>
      </c>
      <c r="K63" s="391"/>
      <c r="L63" s="391"/>
    </row>
    <row r="64" spans="2:12" s="170" customFormat="1" ht="21" hidden="1" customHeight="1">
      <c r="B64" s="171" t="s">
        <v>136</v>
      </c>
      <c r="C64" s="168"/>
      <c r="D64" s="442">
        <f>+[3]Flujo!D64</f>
        <v>0</v>
      </c>
      <c r="E64" s="442">
        <f>+[3]Flujo!E64</f>
        <v>0</v>
      </c>
      <c r="F64" s="169"/>
      <c r="G64" s="397">
        <f t="shared" si="0"/>
        <v>0</v>
      </c>
      <c r="H64" s="429">
        <f t="shared" si="1"/>
        <v>1</v>
      </c>
      <c r="K64" s="391"/>
      <c r="L64" s="391"/>
    </row>
    <row r="65" spans="2:12" s="170" customFormat="1" ht="21" hidden="1" customHeight="1">
      <c r="B65" s="171" t="s">
        <v>154</v>
      </c>
      <c r="C65" s="168"/>
      <c r="D65" s="442">
        <f>+[3]Flujo!D65</f>
        <v>0</v>
      </c>
      <c r="E65" s="442">
        <f>+[3]Flujo!E65</f>
        <v>0</v>
      </c>
      <c r="F65" s="169"/>
      <c r="G65" s="397">
        <f t="shared" ref="G65:G74" si="6">ROUND(+(D65-E65),0)</f>
        <v>0</v>
      </c>
      <c r="H65" s="429">
        <f t="shared" si="1"/>
        <v>1</v>
      </c>
      <c r="K65" s="391"/>
      <c r="L65" s="391"/>
    </row>
    <row r="66" spans="2:12" s="170" customFormat="1" ht="21" customHeight="1" thickBot="1">
      <c r="B66" s="171" t="s">
        <v>155</v>
      </c>
      <c r="C66" s="168"/>
      <c r="D66" s="442">
        <f>+[3]Flujo!D66</f>
        <v>-1119989</v>
      </c>
      <c r="E66" s="442">
        <f>+[3]Flujo!E66</f>
        <v>-1453004</v>
      </c>
      <c r="F66" s="169"/>
      <c r="G66" s="397">
        <f t="shared" si="6"/>
        <v>333015</v>
      </c>
      <c r="H66" s="429">
        <f t="shared" si="1"/>
        <v>-0.22919069734150765</v>
      </c>
      <c r="K66" s="391"/>
      <c r="L66" s="391"/>
    </row>
    <row r="67" spans="2:12" s="170" customFormat="1" ht="21" hidden="1" customHeight="1" thickBot="1">
      <c r="B67" s="171" t="s">
        <v>276</v>
      </c>
      <c r="C67" s="168"/>
      <c r="D67" s="442">
        <f>+[3]Flujo!D67</f>
        <v>0</v>
      </c>
      <c r="E67" s="442">
        <f>+[3]Flujo!E67</f>
        <v>0</v>
      </c>
      <c r="F67" s="169"/>
      <c r="G67" s="397">
        <f t="shared" ref="G67" si="7">ROUND(+(D67-E67),0)</f>
        <v>0</v>
      </c>
      <c r="H67" s="429">
        <f t="shared" ref="H67" si="8">+IFERROR(G67/E67,1)</f>
        <v>1</v>
      </c>
      <c r="K67" s="391"/>
      <c r="L67" s="391"/>
    </row>
    <row r="68" spans="2:12" s="170" customFormat="1" ht="21" customHeight="1" thickBot="1">
      <c r="B68" s="172" t="s">
        <v>273</v>
      </c>
      <c r="C68" s="174"/>
      <c r="D68" s="445">
        <f>+D57+D59+D63+D66+D67</f>
        <v>-4038882</v>
      </c>
      <c r="E68" s="445">
        <f>+E57+E59+E63+E66+E67</f>
        <v>-78982823</v>
      </c>
      <c r="F68" s="169"/>
      <c r="G68" s="421">
        <f t="shared" si="6"/>
        <v>74943941</v>
      </c>
      <c r="H68" s="432">
        <f t="shared" ref="H68:H74" si="9">+IFERROR(G68/E68,1)</f>
        <v>-0.94886379282746069</v>
      </c>
      <c r="K68" s="391"/>
      <c r="L68" s="391"/>
    </row>
    <row r="69" spans="2:12" s="170" customFormat="1" ht="21" hidden="1" customHeight="1">
      <c r="B69" s="172" t="s">
        <v>274</v>
      </c>
      <c r="C69" s="174"/>
      <c r="D69" s="448"/>
      <c r="E69" s="449"/>
      <c r="F69" s="169"/>
      <c r="G69" s="397">
        <f t="shared" si="6"/>
        <v>0</v>
      </c>
      <c r="H69" s="429">
        <f t="shared" si="9"/>
        <v>1</v>
      </c>
      <c r="K69" s="391"/>
      <c r="L69" s="391"/>
    </row>
    <row r="70" spans="2:12" s="170" customFormat="1" ht="21" hidden="1" customHeight="1">
      <c r="B70" s="175" t="s">
        <v>165</v>
      </c>
      <c r="C70" s="173"/>
      <c r="D70" s="450">
        <f>+'[10]Flujo '!D75</f>
        <v>0</v>
      </c>
      <c r="E70" s="451">
        <f>+'[10]Flujo '!E75</f>
        <v>0</v>
      </c>
      <c r="F70" s="169"/>
      <c r="G70" s="397">
        <f t="shared" si="6"/>
        <v>0</v>
      </c>
      <c r="H70" s="429">
        <f t="shared" si="9"/>
        <v>1</v>
      </c>
      <c r="K70" s="391"/>
      <c r="L70" s="391"/>
    </row>
    <row r="71" spans="2:12" s="170" customFormat="1" ht="21" hidden="1" customHeight="1" thickBot="1">
      <c r="B71" s="176" t="s">
        <v>165</v>
      </c>
      <c r="C71" s="173"/>
      <c r="D71" s="450">
        <f>+'[10]Flujo '!D76</f>
        <v>0</v>
      </c>
      <c r="E71" s="451">
        <f>+'[10]Flujo '!E76</f>
        <v>0</v>
      </c>
      <c r="F71" s="169"/>
      <c r="G71" s="397">
        <f t="shared" si="6"/>
        <v>0</v>
      </c>
      <c r="H71" s="429">
        <f t="shared" si="9"/>
        <v>1</v>
      </c>
      <c r="K71" s="391"/>
      <c r="L71" s="391"/>
    </row>
    <row r="72" spans="2:12" s="170" customFormat="1" ht="21" customHeight="1" thickBot="1">
      <c r="B72" s="172" t="s">
        <v>184</v>
      </c>
      <c r="C72" s="174"/>
      <c r="D72" s="445">
        <f>+D68+D50+D24</f>
        <v>102882828</v>
      </c>
      <c r="E72" s="449">
        <f>+E68+E50+E24</f>
        <v>32082284</v>
      </c>
      <c r="F72" s="169"/>
      <c r="G72" s="421">
        <f t="shared" si="6"/>
        <v>70800544</v>
      </c>
      <c r="H72" s="432">
        <f t="shared" si="9"/>
        <v>2.2068423806733959</v>
      </c>
      <c r="K72" s="391"/>
      <c r="L72" s="391"/>
    </row>
    <row r="73" spans="2:12" s="170" customFormat="1" ht="21" customHeight="1" thickBot="1">
      <c r="B73" s="171" t="s">
        <v>185</v>
      </c>
      <c r="C73" s="168"/>
      <c r="D73" s="442">
        <f>+[3]Flujo!D76</f>
        <v>72062758</v>
      </c>
      <c r="E73" s="442">
        <f>+[3]Flujo!E76</f>
        <v>39980474</v>
      </c>
      <c r="F73" s="177"/>
      <c r="G73" s="397">
        <f t="shared" si="6"/>
        <v>32082284</v>
      </c>
      <c r="H73" s="429">
        <f t="shared" si="9"/>
        <v>0.8024488153892323</v>
      </c>
      <c r="K73" s="391"/>
      <c r="L73" s="391"/>
    </row>
    <row r="74" spans="2:12" s="170" customFormat="1" ht="21" customHeight="1" thickBot="1">
      <c r="B74" s="178" t="s">
        <v>186</v>
      </c>
      <c r="C74" s="179">
        <v>7</v>
      </c>
      <c r="D74" s="452">
        <f>SUM(D70:D73)</f>
        <v>174945586</v>
      </c>
      <c r="E74" s="452">
        <f>SUM(E70:E73)</f>
        <v>72062758</v>
      </c>
      <c r="G74" s="421">
        <f t="shared" si="6"/>
        <v>102882828</v>
      </c>
      <c r="H74" s="432">
        <f t="shared" si="9"/>
        <v>1.4276837419961084</v>
      </c>
      <c r="K74" s="391"/>
      <c r="L74" s="391"/>
    </row>
    <row r="75" spans="2:12">
      <c r="D75" s="453"/>
      <c r="E75" s="453"/>
    </row>
    <row r="76" spans="2:12">
      <c r="D76" s="454">
        <f>+D74-Balance!D6</f>
        <v>0</v>
      </c>
      <c r="E76" s="454">
        <f>+E74-Balance!E6</f>
        <v>0</v>
      </c>
    </row>
  </sheetData>
  <mergeCells count="3">
    <mergeCell ref="B2:B3"/>
    <mergeCell ref="C2:C3"/>
    <mergeCell ref="G2:H2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000066"/>
  </sheetPr>
  <dimension ref="B2:I26"/>
  <sheetViews>
    <sheetView showGridLines="0" workbookViewId="0">
      <selection activeCell="C3" sqref="C3"/>
    </sheetView>
  </sheetViews>
  <sheetFormatPr baseColWidth="10" defaultColWidth="11.44140625" defaultRowHeight="10.199999999999999"/>
  <cols>
    <col min="1" max="1" width="11.44140625" style="11"/>
    <col min="2" max="2" width="45.5546875" style="11" bestFit="1" customWidth="1"/>
    <col min="3" max="3" width="14.21875" style="439" bestFit="1" customWidth="1"/>
    <col min="4" max="4" width="14.21875" style="11" bestFit="1" customWidth="1"/>
    <col min="5" max="5" width="13.44140625" style="11" bestFit="1" customWidth="1"/>
    <col min="6" max="6" width="13.77734375" style="11" bestFit="1" customWidth="1"/>
    <col min="7" max="16384" width="11.44140625" style="11"/>
  </cols>
  <sheetData>
    <row r="2" spans="2:9" ht="13.8">
      <c r="B2" s="202" t="s">
        <v>89</v>
      </c>
      <c r="C2" s="434" t="s">
        <v>4</v>
      </c>
      <c r="F2" s="13"/>
      <c r="G2" s="14"/>
      <c r="H2" s="14"/>
      <c r="I2" s="13"/>
    </row>
    <row r="3" spans="2:9" ht="13.8">
      <c r="B3" s="165" t="s">
        <v>249</v>
      </c>
      <c r="C3" s="435">
        <f>+cálculos!E69</f>
        <v>141737188</v>
      </c>
      <c r="F3" s="13"/>
      <c r="G3" s="13"/>
      <c r="H3" s="13"/>
      <c r="I3" s="13"/>
    </row>
    <row r="4" spans="2:9" ht="13.8">
      <c r="B4" s="165" t="s">
        <v>284</v>
      </c>
      <c r="C4" s="435">
        <f>-cálculos!D69</f>
        <v>-141737188</v>
      </c>
    </row>
    <row r="5" spans="2:9" ht="13.8">
      <c r="B5" s="203" t="s">
        <v>285</v>
      </c>
      <c r="C5" s="436">
        <f>+cálculos!C69</f>
        <v>98691668</v>
      </c>
      <c r="G5" s="12"/>
      <c r="H5" s="12"/>
      <c r="I5" s="15"/>
    </row>
    <row r="6" spans="2:9" ht="13.8">
      <c r="B6" s="202" t="s">
        <v>286</v>
      </c>
      <c r="C6" s="437">
        <f>SUM(C3:C5)</f>
        <v>98691668</v>
      </c>
      <c r="G6" s="12"/>
      <c r="H6" s="12"/>
    </row>
    <row r="7" spans="2:9" ht="13.8">
      <c r="B7" s="165"/>
      <c r="C7" s="435"/>
    </row>
    <row r="8" spans="2:9" ht="13.8">
      <c r="B8" s="204" t="s">
        <v>90</v>
      </c>
      <c r="C8" s="435"/>
    </row>
    <row r="9" spans="2:9" ht="13.8">
      <c r="B9" s="202" t="s">
        <v>17</v>
      </c>
      <c r="C9" s="434" t="s">
        <v>4</v>
      </c>
    </row>
    <row r="10" spans="2:9" ht="13.8">
      <c r="B10" s="165" t="str">
        <f>+B3</f>
        <v>Ejercicio 2019</v>
      </c>
      <c r="C10" s="435">
        <f>+cálculos!F20-cálculos!F21</f>
        <v>218825047</v>
      </c>
    </row>
    <row r="11" spans="2:9" ht="13.8">
      <c r="B11" s="165" t="str">
        <f>+B4</f>
        <v>Acum Dic 2019</v>
      </c>
      <c r="C11" s="435">
        <f>-(+cálculos!E20-cálculos!E21)</f>
        <v>-218825047</v>
      </c>
    </row>
    <row r="12" spans="2:9" ht="13.8">
      <c r="B12" s="203" t="str">
        <f>+B5</f>
        <v>Acum Dic 2020</v>
      </c>
      <c r="C12" s="436">
        <f>+cálculos!D20-cálculos!D21</f>
        <v>143854024</v>
      </c>
    </row>
    <row r="13" spans="2:9" ht="13.8">
      <c r="B13" s="202" t="str">
        <f>+B6</f>
        <v>Periodo Dic 2019 - Dic 2020</v>
      </c>
      <c r="C13" s="437">
        <f>SUM(C10:C12)</f>
        <v>143854024</v>
      </c>
    </row>
    <row r="14" spans="2:9" ht="13.8">
      <c r="B14" s="165"/>
      <c r="C14" s="435"/>
    </row>
    <row r="15" spans="2:9" ht="13.8">
      <c r="B15" s="165"/>
      <c r="C15" s="435"/>
    </row>
    <row r="16" spans="2:9" ht="13.8">
      <c r="B16" s="202" t="s">
        <v>19</v>
      </c>
      <c r="C16" s="434" t="s">
        <v>4</v>
      </c>
    </row>
    <row r="17" spans="2:5" ht="13.8">
      <c r="B17" s="165" t="str">
        <f>+B3</f>
        <v>Ejercicio 2019</v>
      </c>
      <c r="C17" s="435">
        <f>-cálculos!F21</f>
        <v>26752209</v>
      </c>
    </row>
    <row r="18" spans="2:5" ht="13.8">
      <c r="B18" s="165" t="str">
        <f>+B4</f>
        <v>Acum Dic 2019</v>
      </c>
      <c r="C18" s="435">
        <f>+cálculos!E21</f>
        <v>-26752209</v>
      </c>
    </row>
    <row r="19" spans="2:5" ht="13.8">
      <c r="B19" s="203" t="str">
        <f>+B5</f>
        <v>Acum Dic 2020</v>
      </c>
      <c r="C19" s="436">
        <f>-cálculos!D21</f>
        <v>28172393</v>
      </c>
    </row>
    <row r="20" spans="2:5" ht="13.8">
      <c r="B20" s="202" t="str">
        <f>+B13</f>
        <v>Periodo Dic 2019 - Dic 2020</v>
      </c>
      <c r="C20" s="437">
        <f>SUM(C17:C19)</f>
        <v>28172393</v>
      </c>
    </row>
    <row r="24" spans="2:5">
      <c r="C24" s="438"/>
      <c r="D24" s="386"/>
      <c r="E24" s="387"/>
    </row>
    <row r="25" spans="2:5">
      <c r="C25" s="385"/>
      <c r="D25" s="385"/>
      <c r="E25" s="385"/>
    </row>
    <row r="26" spans="2:5">
      <c r="C26" s="385"/>
      <c r="D26" s="385"/>
      <c r="E26" s="38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000066"/>
  </sheetPr>
  <dimension ref="B2"/>
  <sheetViews>
    <sheetView showGridLines="0" workbookViewId="0">
      <selection activeCell="F12" sqref="F12"/>
    </sheetView>
  </sheetViews>
  <sheetFormatPr baseColWidth="10" defaultColWidth="10.88671875" defaultRowHeight="13.2"/>
  <sheetData>
    <row r="2" spans="2:2">
      <c r="B2" s="377" t="s">
        <v>234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2"/>
  <sheetViews>
    <sheetView showGridLines="0" workbookViewId="0">
      <selection activeCell="G38" sqref="G38"/>
    </sheetView>
  </sheetViews>
  <sheetFormatPr baseColWidth="10" defaultColWidth="11.44140625" defaultRowHeight="15" customHeight="1"/>
  <cols>
    <col min="1" max="1" width="4" style="21" customWidth="1"/>
    <col min="2" max="2" width="44.77734375" style="21" bestFit="1" customWidth="1"/>
    <col min="3" max="4" width="12.77734375" style="21" customWidth="1"/>
    <col min="5" max="5" width="15.5546875" style="21" customWidth="1"/>
    <col min="6" max="6" width="13.21875" style="21" bestFit="1" customWidth="1"/>
    <col min="7" max="9" width="11.44140625" style="21"/>
    <col min="10" max="10" width="14.21875" style="21" bestFit="1" customWidth="1"/>
    <col min="11" max="16384" width="11.44140625" style="21"/>
  </cols>
  <sheetData>
    <row r="1" spans="1:10" ht="15" customHeight="1">
      <c r="A1" s="30" t="s">
        <v>292</v>
      </c>
    </row>
    <row r="3" spans="1:10" s="29" customFormat="1" ht="15" customHeight="1" thickBot="1">
      <c r="B3" s="10" t="s">
        <v>295</v>
      </c>
      <c r="C3" s="488" t="s">
        <v>293</v>
      </c>
      <c r="D3" s="488" t="s">
        <v>294</v>
      </c>
      <c r="E3" s="378" t="s">
        <v>222</v>
      </c>
      <c r="F3" s="465" t="s">
        <v>255</v>
      </c>
    </row>
    <row r="4" spans="1:10" ht="15" customHeight="1">
      <c r="B4" s="9" t="s">
        <v>296</v>
      </c>
      <c r="C4" s="466">
        <f>+Resultado!D5</f>
        <v>478773563</v>
      </c>
      <c r="D4" s="466">
        <f>+Resultado!E5</f>
        <v>484329084</v>
      </c>
      <c r="E4" s="23">
        <f t="shared" ref="E4:E14" si="0">ROUND(+F4/D4,3)</f>
        <v>-1.0999999999999999E-2</v>
      </c>
      <c r="F4" s="22">
        <f t="shared" ref="F4:F14" si="1">+C4-D4</f>
        <v>-5555521</v>
      </c>
    </row>
    <row r="5" spans="1:10" s="31" customFormat="1" ht="15" customHeight="1">
      <c r="B5" s="9" t="s">
        <v>297</v>
      </c>
      <c r="C5" s="466">
        <f>+Resultado!D6+Resultado!D7+Resultado!D10</f>
        <v>-243441636</v>
      </c>
      <c r="D5" s="466">
        <f>+Resultado!E6+Resultado!E7+Resultado!E10</f>
        <v>-199022597</v>
      </c>
      <c r="E5" s="23">
        <f t="shared" si="0"/>
        <v>0.223</v>
      </c>
      <c r="F5" s="22">
        <f t="shared" si="1"/>
        <v>-44419039</v>
      </c>
    </row>
    <row r="6" spans="1:10" s="31" customFormat="1" ht="15" customHeight="1">
      <c r="B6" s="8" t="s">
        <v>172</v>
      </c>
      <c r="C6" s="467">
        <f>+C4+C5</f>
        <v>235331927</v>
      </c>
      <c r="D6" s="467">
        <f>+D4+D5</f>
        <v>285306487</v>
      </c>
      <c r="E6" s="25">
        <f t="shared" si="0"/>
        <v>-0.17499999999999999</v>
      </c>
      <c r="F6" s="24">
        <f t="shared" si="1"/>
        <v>-49974560</v>
      </c>
      <c r="J6" s="32"/>
    </row>
    <row r="7" spans="1:10" s="31" customFormat="1" ht="15" customHeight="1">
      <c r="B7" s="9" t="s">
        <v>298</v>
      </c>
      <c r="C7" s="466">
        <f>+Resultado!D8</f>
        <v>-67134809</v>
      </c>
      <c r="D7" s="466">
        <f>+Resultado!E8</f>
        <v>-63951173</v>
      </c>
      <c r="E7" s="23">
        <f t="shared" si="0"/>
        <v>0.05</v>
      </c>
      <c r="F7" s="22">
        <f t="shared" si="1"/>
        <v>-3183636</v>
      </c>
      <c r="J7" s="32"/>
    </row>
    <row r="8" spans="1:10" s="31" customFormat="1" ht="15" customHeight="1">
      <c r="B8" s="8" t="s">
        <v>299</v>
      </c>
      <c r="C8" s="467">
        <f>+C6+C7</f>
        <v>168197118</v>
      </c>
      <c r="D8" s="467">
        <f>+D6+D7</f>
        <v>221355314</v>
      </c>
      <c r="E8" s="25">
        <f t="shared" si="0"/>
        <v>-0.24</v>
      </c>
      <c r="F8" s="24">
        <f t="shared" si="1"/>
        <v>-53158196</v>
      </c>
      <c r="J8" s="32"/>
    </row>
    <row r="9" spans="1:10" s="31" customFormat="1" ht="15" customHeight="1">
      <c r="B9" s="9" t="s">
        <v>300</v>
      </c>
      <c r="C9" s="466">
        <f>+Resultado!D11</f>
        <v>-3967292</v>
      </c>
      <c r="D9" s="466">
        <f>+Resultado!E11</f>
        <v>14280922</v>
      </c>
      <c r="E9" s="27">
        <f t="shared" si="0"/>
        <v>-1.278</v>
      </c>
      <c r="F9" s="22">
        <f t="shared" si="1"/>
        <v>-18248214</v>
      </c>
      <c r="J9" s="32"/>
    </row>
    <row r="10" spans="1:10" s="31" customFormat="1" ht="15" customHeight="1">
      <c r="B10" s="52" t="s">
        <v>301</v>
      </c>
      <c r="C10" s="466">
        <f>+Resultado!D9</f>
        <v>-1404946</v>
      </c>
      <c r="D10" s="466">
        <f>+Resultado!E9</f>
        <v>0</v>
      </c>
      <c r="E10" s="490" t="s">
        <v>281</v>
      </c>
      <c r="F10" s="22">
        <f t="shared" si="1"/>
        <v>-1404946</v>
      </c>
      <c r="J10" s="32"/>
    </row>
    <row r="11" spans="1:10" s="31" customFormat="1" ht="15" customHeight="1">
      <c r="B11" s="9" t="s">
        <v>302</v>
      </c>
      <c r="C11" s="466">
        <f>+Resultado!D13+Resultado!D14+Resultado!D15+Resultado!D16</f>
        <v>-47143249</v>
      </c>
      <c r="D11" s="466">
        <f>+Resultado!E13+Resultado!E14+Resultado!E15+Resultado!E16</f>
        <v>-43563398</v>
      </c>
      <c r="E11" s="27">
        <f t="shared" si="0"/>
        <v>8.2000000000000003E-2</v>
      </c>
      <c r="F11" s="28">
        <f t="shared" si="1"/>
        <v>-3579851</v>
      </c>
    </row>
    <row r="12" spans="1:10" s="31" customFormat="1" ht="15" customHeight="1">
      <c r="B12" s="9" t="s">
        <v>303</v>
      </c>
      <c r="C12" s="466">
        <f>+Resultado!D19</f>
        <v>-26987579</v>
      </c>
      <c r="D12" s="466">
        <f>+Resultado!E19</f>
        <v>-49352038</v>
      </c>
      <c r="E12" s="23">
        <f t="shared" si="0"/>
        <v>-0.45300000000000001</v>
      </c>
      <c r="F12" s="22">
        <f t="shared" si="1"/>
        <v>22364459</v>
      </c>
      <c r="J12" s="32"/>
    </row>
    <row r="13" spans="1:10" s="31" customFormat="1" ht="15" customHeight="1">
      <c r="B13" s="18" t="s">
        <v>304</v>
      </c>
      <c r="C13" s="466">
        <f>+Resultado!D21</f>
        <v>11671443</v>
      </c>
      <c r="D13" s="466">
        <f>+Resultado!E21</f>
        <v>-2970428</v>
      </c>
      <c r="E13" s="490" t="s">
        <v>277</v>
      </c>
      <c r="F13" s="22">
        <f t="shared" ref="F13" si="2">+C13-D13</f>
        <v>14641871</v>
      </c>
      <c r="J13" s="32"/>
    </row>
    <row r="14" spans="1:10" s="31" customFormat="1" ht="15" customHeight="1">
      <c r="B14" s="8" t="s">
        <v>305</v>
      </c>
      <c r="C14" s="467">
        <f>+Resultado!D25</f>
        <v>98691668</v>
      </c>
      <c r="D14" s="467">
        <f>+Resultado!E25</f>
        <v>141737188</v>
      </c>
      <c r="E14" s="25">
        <f t="shared" si="0"/>
        <v>-0.30399999999999999</v>
      </c>
      <c r="F14" s="24">
        <f t="shared" si="1"/>
        <v>-43045520</v>
      </c>
    </row>
    <row r="15" spans="1:10" s="31" customFormat="1" ht="15" customHeight="1"/>
    <row r="16" spans="1:10" ht="15" customHeight="1">
      <c r="A16" s="30" t="s">
        <v>306</v>
      </c>
    </row>
    <row r="17" spans="2:13" s="31" customFormat="1" ht="15" customHeight="1">
      <c r="B17" s="33"/>
      <c r="C17" s="34"/>
      <c r="D17" s="34"/>
      <c r="E17" s="35"/>
      <c r="F17" s="36"/>
      <c r="G17" s="34"/>
    </row>
    <row r="18" spans="2:13" s="31" customFormat="1" ht="15" customHeight="1" thickBot="1">
      <c r="B18" s="21"/>
      <c r="C18" s="516" t="str">
        <f>+C3</f>
        <v xml:space="preserve">         Dec. 20</v>
      </c>
      <c r="D18" s="516"/>
      <c r="E18" s="21"/>
      <c r="F18" s="517" t="str">
        <f>+D3</f>
        <v xml:space="preserve">               Dec. 19</v>
      </c>
      <c r="G18" s="517"/>
      <c r="H18" s="21"/>
      <c r="I18" s="518"/>
      <c r="J18" s="518"/>
    </row>
    <row r="19" spans="2:13" s="31" customFormat="1" ht="15" customHeight="1">
      <c r="B19" s="21"/>
      <c r="C19" s="505" t="s">
        <v>311</v>
      </c>
      <c r="D19" s="519" t="s">
        <v>312</v>
      </c>
      <c r="E19" s="21"/>
      <c r="F19" s="505" t="s">
        <v>311</v>
      </c>
      <c r="G19" s="519" t="s">
        <v>312</v>
      </c>
      <c r="H19" s="21"/>
      <c r="I19" s="518"/>
      <c r="J19" s="518"/>
    </row>
    <row r="20" spans="2:13" s="31" customFormat="1" ht="15" customHeight="1" thickBot="1">
      <c r="B20" s="21"/>
      <c r="C20" s="7" t="s">
        <v>313</v>
      </c>
      <c r="D20" s="520"/>
      <c r="E20" s="21"/>
      <c r="F20" s="7" t="s">
        <v>313</v>
      </c>
      <c r="G20" s="520"/>
      <c r="H20" s="21"/>
      <c r="I20" s="518"/>
      <c r="J20" s="518"/>
    </row>
    <row r="21" spans="2:13" s="31" customFormat="1" ht="15" customHeight="1">
      <c r="B21" s="9" t="s">
        <v>307</v>
      </c>
      <c r="C21" s="37">
        <v>195787729</v>
      </c>
      <c r="D21" s="479">
        <f>+ROUND(C21/$C$25,3)+0.1%</f>
        <v>0.41</v>
      </c>
      <c r="E21" s="21"/>
      <c r="F21" s="37">
        <v>193820931</v>
      </c>
      <c r="G21" s="479">
        <f>+ROUND(F21/$F$25,3)</f>
        <v>0.4</v>
      </c>
      <c r="H21" s="21"/>
      <c r="I21" s="48">
        <f>+C21-F21</f>
        <v>1966798</v>
      </c>
      <c r="J21" s="49">
        <f>+ROUND(I21/F21,3)</f>
        <v>0.01</v>
      </c>
      <c r="M21" s="38"/>
    </row>
    <row r="22" spans="2:13" s="31" customFormat="1" ht="15" customHeight="1">
      <c r="B22" s="9" t="s">
        <v>308</v>
      </c>
      <c r="C22" s="37">
        <v>219123955</v>
      </c>
      <c r="D22" s="479">
        <f t="shared" ref="D22:D24" si="3">+ROUND(C22/$C$25,3)</f>
        <v>0.45800000000000002</v>
      </c>
      <c r="E22" s="21"/>
      <c r="F22" s="37">
        <v>229778955</v>
      </c>
      <c r="G22" s="479">
        <f t="shared" ref="G22:G24" si="4">+ROUND(F22/$F$25,3)</f>
        <v>0.47399999999999998</v>
      </c>
      <c r="H22" s="21"/>
      <c r="I22" s="48">
        <f t="shared" ref="I22:I24" si="5">+C22-F22</f>
        <v>-10655000</v>
      </c>
      <c r="J22" s="49">
        <f t="shared" ref="J22:J25" si="6">+ROUND(I22/F22,3)</f>
        <v>-4.5999999999999999E-2</v>
      </c>
      <c r="M22" s="38"/>
    </row>
    <row r="23" spans="2:13" s="31" customFormat="1" ht="15" customHeight="1">
      <c r="B23" s="9" t="s">
        <v>309</v>
      </c>
      <c r="C23" s="37">
        <v>13004110</v>
      </c>
      <c r="D23" s="23">
        <f t="shared" si="3"/>
        <v>2.7E-2</v>
      </c>
      <c r="E23" s="21"/>
      <c r="F23" s="37">
        <v>13017906</v>
      </c>
      <c r="G23" s="479">
        <f t="shared" si="4"/>
        <v>2.7E-2</v>
      </c>
      <c r="H23" s="21"/>
      <c r="I23" s="48">
        <f t="shared" si="5"/>
        <v>-13796</v>
      </c>
      <c r="J23" s="49">
        <f t="shared" si="6"/>
        <v>-1E-3</v>
      </c>
      <c r="M23" s="38"/>
    </row>
    <row r="24" spans="2:13" s="31" customFormat="1" ht="15" customHeight="1" thickBot="1">
      <c r="B24" s="9" t="s">
        <v>310</v>
      </c>
      <c r="C24" s="39">
        <v>50857769</v>
      </c>
      <c r="D24" s="480">
        <f t="shared" si="3"/>
        <v>0.106</v>
      </c>
      <c r="E24" s="21"/>
      <c r="F24" s="39">
        <v>47711292</v>
      </c>
      <c r="G24" s="480">
        <f t="shared" si="4"/>
        <v>9.9000000000000005E-2</v>
      </c>
      <c r="H24" s="21"/>
      <c r="I24" s="48">
        <f t="shared" si="5"/>
        <v>3146477</v>
      </c>
      <c r="J24" s="49">
        <f t="shared" si="6"/>
        <v>6.6000000000000003E-2</v>
      </c>
      <c r="M24" s="38"/>
    </row>
    <row r="25" spans="2:13" s="31" customFormat="1" ht="15" customHeight="1" thickTop="1">
      <c r="B25" s="8" t="s">
        <v>173</v>
      </c>
      <c r="C25" s="56">
        <f>SUM(C21:C24)</f>
        <v>478773563</v>
      </c>
      <c r="D25" s="481">
        <f>SUM(D21:D24)</f>
        <v>1.0010000000000001</v>
      </c>
      <c r="E25" s="21"/>
      <c r="F25" s="56">
        <f>SUM(F21:F24)</f>
        <v>484329084</v>
      </c>
      <c r="G25" s="481">
        <f>SUM(G21:G24)</f>
        <v>1</v>
      </c>
      <c r="H25" s="21"/>
      <c r="I25" s="50">
        <f>SUM(I21:I24)</f>
        <v>-5555521</v>
      </c>
      <c r="J25" s="51">
        <f t="shared" si="6"/>
        <v>-1.0999999999999999E-2</v>
      </c>
      <c r="L25" s="40"/>
      <c r="M25" s="38"/>
    </row>
    <row r="26" spans="2:13" s="31" customFormat="1" ht="15" customHeight="1">
      <c r="C26" s="491">
        <f>+C25-C4</f>
        <v>0</v>
      </c>
      <c r="D26" s="491"/>
      <c r="E26" s="492"/>
      <c r="F26" s="491">
        <f>+F25-D4</f>
        <v>0</v>
      </c>
      <c r="I26" s="38"/>
    </row>
    <row r="27" spans="2:13" s="31" customFormat="1" ht="15" customHeight="1" thickBot="1">
      <c r="B27" s="6" t="s">
        <v>314</v>
      </c>
      <c r="C27" s="20" t="str">
        <f>+C3</f>
        <v xml:space="preserve">         Dec. 20</v>
      </c>
      <c r="D27" s="20" t="str">
        <f>+D3</f>
        <v xml:space="preserve">               Dec. 19</v>
      </c>
      <c r="E27" s="20" t="s">
        <v>171</v>
      </c>
      <c r="F27" s="21"/>
      <c r="G27" s="20" t="s">
        <v>318</v>
      </c>
    </row>
    <row r="28" spans="2:13" s="31" customFormat="1" ht="15" customHeight="1">
      <c r="B28" s="9" t="s">
        <v>307</v>
      </c>
      <c r="C28" s="37">
        <v>533881</v>
      </c>
      <c r="D28" s="37">
        <v>559408</v>
      </c>
      <c r="E28" s="23">
        <f t="shared" ref="E28:E31" si="7">ROUND(G28/D28,3)</f>
        <v>-4.5999999999999999E-2</v>
      </c>
      <c r="F28" s="21"/>
      <c r="G28" s="22">
        <f>+C28-D28</f>
        <v>-25527</v>
      </c>
      <c r="I28" s="32"/>
    </row>
    <row r="29" spans="2:13" s="31" customFormat="1" ht="15" customHeight="1">
      <c r="B29" s="9" t="s">
        <v>315</v>
      </c>
      <c r="C29" s="37">
        <v>511267</v>
      </c>
      <c r="D29" s="37">
        <v>535956</v>
      </c>
      <c r="E29" s="23">
        <f t="shared" si="7"/>
        <v>-4.5999999999999999E-2</v>
      </c>
      <c r="F29" s="21"/>
      <c r="G29" s="22">
        <f t="shared" ref="G29:G31" si="8">+C29-D29</f>
        <v>-24689</v>
      </c>
      <c r="I29" s="32"/>
    </row>
    <row r="30" spans="2:13" s="31" customFormat="1" ht="15" customHeight="1">
      <c r="B30" s="9" t="s">
        <v>316</v>
      </c>
      <c r="C30" s="37">
        <v>440582</v>
      </c>
      <c r="D30" s="37">
        <v>461803</v>
      </c>
      <c r="E30" s="23">
        <f t="shared" si="7"/>
        <v>-4.5999999999999999E-2</v>
      </c>
      <c r="F30" s="21"/>
      <c r="G30" s="22">
        <f t="shared" si="8"/>
        <v>-21221</v>
      </c>
      <c r="I30" s="32"/>
    </row>
    <row r="31" spans="2:13" ht="15" customHeight="1">
      <c r="B31" s="9" t="s">
        <v>317</v>
      </c>
      <c r="C31" s="37">
        <v>124710</v>
      </c>
      <c r="D31" s="37">
        <v>128799</v>
      </c>
      <c r="E31" s="23">
        <f t="shared" si="7"/>
        <v>-3.2000000000000001E-2</v>
      </c>
      <c r="F31" s="41"/>
      <c r="G31" s="22">
        <f t="shared" si="8"/>
        <v>-4089</v>
      </c>
    </row>
    <row r="32" spans="2:13" ht="15" customHeight="1">
      <c r="C32" s="53"/>
      <c r="D32" s="53"/>
    </row>
    <row r="33" spans="2:7" ht="15" customHeight="1" thickBot="1">
      <c r="B33" s="10" t="s">
        <v>319</v>
      </c>
      <c r="C33" s="20" t="str">
        <f>+C27</f>
        <v xml:space="preserve">         Dec. 20</v>
      </c>
      <c r="D33" s="20" t="str">
        <f>+D27</f>
        <v xml:space="preserve">               Dec. 19</v>
      </c>
      <c r="E33" s="20" t="s">
        <v>171</v>
      </c>
      <c r="G33" s="504" t="s">
        <v>318</v>
      </c>
    </row>
    <row r="34" spans="2:7" ht="15" customHeight="1">
      <c r="B34" s="9" t="s">
        <v>307</v>
      </c>
      <c r="C34" s="37">
        <v>2169426</v>
      </c>
      <c r="D34" s="37">
        <v>2132607</v>
      </c>
      <c r="E34" s="23">
        <f>ROUND(G34/D34,3)</f>
        <v>1.7000000000000001E-2</v>
      </c>
      <c r="G34" s="22">
        <f>+C34-D34</f>
        <v>36819</v>
      </c>
    </row>
    <row r="35" spans="2:7" ht="15" customHeight="1">
      <c r="B35" s="9" t="s">
        <v>315</v>
      </c>
      <c r="C35" s="37">
        <v>2125918</v>
      </c>
      <c r="D35" s="37">
        <v>2089505</v>
      </c>
      <c r="E35" s="23">
        <f>ROUND(G35/D35,3)</f>
        <v>1.7000000000000001E-2</v>
      </c>
      <c r="G35" s="22">
        <f>+C35-D35</f>
        <v>36413</v>
      </c>
    </row>
    <row r="37" spans="2:7" ht="15" customHeight="1">
      <c r="B37" s="42" t="s">
        <v>320</v>
      </c>
    </row>
    <row r="38" spans="2:7" ht="15" customHeight="1">
      <c r="B38" s="42"/>
    </row>
    <row r="39" spans="2:7" ht="14.4" thickBot="1">
      <c r="B39" s="17" t="s">
        <v>321</v>
      </c>
      <c r="C39" s="20" t="str">
        <f>+C33</f>
        <v xml:space="preserve">         Dec. 20</v>
      </c>
      <c r="D39" s="20" t="str">
        <f>+D33</f>
        <v xml:space="preserve">               Dec. 19</v>
      </c>
      <c r="E39" s="20" t="str">
        <f>+E33</f>
        <v>% Var.</v>
      </c>
    </row>
    <row r="40" spans="2:7" ht="13.8">
      <c r="B40" s="18" t="s">
        <v>166</v>
      </c>
      <c r="C40" s="37">
        <v>16172407</v>
      </c>
      <c r="D40" s="37">
        <v>14394635</v>
      </c>
      <c r="E40" s="23">
        <f>ROUND(+F40/D40,3)</f>
        <v>0.124</v>
      </c>
      <c r="F40" s="46">
        <f>+C40-D40</f>
        <v>1777772</v>
      </c>
      <c r="G40" s="46"/>
    </row>
    <row r="41" spans="2:7" s="29" customFormat="1" ht="13.8">
      <c r="B41" s="18" t="s">
        <v>199</v>
      </c>
      <c r="C41" s="37">
        <v>6257482</v>
      </c>
      <c r="D41" s="37">
        <v>8359396</v>
      </c>
      <c r="E41" s="23">
        <f>ROUND(+F41/D41,3)</f>
        <v>-0.251</v>
      </c>
      <c r="F41" s="46">
        <f t="shared" ref="F41:F43" si="9">+C41-D41</f>
        <v>-2101914</v>
      </c>
      <c r="G41" s="46"/>
    </row>
    <row r="42" spans="2:7" ht="13.8">
      <c r="B42" s="18" t="s">
        <v>244</v>
      </c>
      <c r="C42" s="37">
        <v>5480489</v>
      </c>
      <c r="D42" s="37">
        <v>4640649</v>
      </c>
      <c r="E42" s="23">
        <f>ROUND(+F42/D42,3)</f>
        <v>0.18099999999999999</v>
      </c>
      <c r="F42" s="46">
        <f t="shared" si="9"/>
        <v>839840</v>
      </c>
      <c r="G42" s="46"/>
    </row>
    <row r="43" spans="2:7" ht="13.8">
      <c r="B43" s="18" t="s">
        <v>167</v>
      </c>
      <c r="C43" s="37">
        <v>339931</v>
      </c>
      <c r="D43" s="37">
        <v>1071511</v>
      </c>
      <c r="E43" s="23">
        <f>ROUND(+F43/D43,3)</f>
        <v>-0.68300000000000005</v>
      </c>
      <c r="F43" s="46">
        <f t="shared" si="9"/>
        <v>-731580</v>
      </c>
      <c r="G43" s="46"/>
    </row>
    <row r="44" spans="2:7" ht="13.8">
      <c r="B44" s="6" t="s">
        <v>322</v>
      </c>
      <c r="C44" s="56">
        <f>SUM(C40:C43)</f>
        <v>28250309</v>
      </c>
      <c r="D44" s="56">
        <f>SUM(D40:D43)</f>
        <v>28466191</v>
      </c>
      <c r="E44" s="25">
        <f>ROUND(+F44/D44,3)</f>
        <v>-8.0000000000000002E-3</v>
      </c>
      <c r="F44" s="47">
        <f>+C44-D44</f>
        <v>-215882</v>
      </c>
      <c r="G44" s="46">
        <f>-F44+I24</f>
        <v>3362359</v>
      </c>
    </row>
    <row r="45" spans="2:7" ht="15" customHeight="1">
      <c r="C45" s="44"/>
      <c r="D45" s="44"/>
    </row>
    <row r="46" spans="2:7" ht="15" customHeight="1">
      <c r="C46" s="43"/>
      <c r="D46" s="43"/>
      <c r="G46" s="43"/>
    </row>
    <row r="50" spans="2:3" ht="15" customHeight="1">
      <c r="B50" s="18"/>
      <c r="C50" s="45"/>
    </row>
    <row r="51" spans="2:3" ht="15" customHeight="1">
      <c r="B51" s="18"/>
      <c r="C51" s="45"/>
    </row>
    <row r="52" spans="2:3" ht="15" customHeight="1">
      <c r="B52" s="18"/>
      <c r="C52" s="45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0"/>
  <sheetViews>
    <sheetView showGridLines="0" topLeftCell="A16" workbookViewId="0">
      <selection activeCell="J27" sqref="J27"/>
    </sheetView>
  </sheetViews>
  <sheetFormatPr baseColWidth="10" defaultColWidth="11.44140625" defaultRowHeight="13.8"/>
  <cols>
    <col min="1" max="1" width="11.44140625" style="21"/>
    <col min="2" max="2" width="25.21875" style="21" bestFit="1" customWidth="1"/>
    <col min="3" max="4" width="12" style="21" bestFit="1" customWidth="1"/>
    <col min="5" max="9" width="11.44140625" style="21"/>
    <col min="10" max="10" width="68.21875" style="21" bestFit="1" customWidth="1"/>
    <col min="11" max="11" width="12.21875" style="21" bestFit="1" customWidth="1"/>
    <col min="12" max="16384" width="11.44140625" style="21"/>
  </cols>
  <sheetData>
    <row r="1" spans="2:13">
      <c r="B1" s="5" t="s">
        <v>323</v>
      </c>
    </row>
    <row r="3" spans="2:13" ht="14.4" thickBot="1">
      <c r="B3" s="10" t="s">
        <v>295</v>
      </c>
      <c r="C3" s="20" t="str">
        <f>+Resultados!C3</f>
        <v xml:space="preserve">         Dec. 20</v>
      </c>
      <c r="D3" s="20" t="str">
        <f>+Resultados!D3</f>
        <v xml:space="preserve">               Dec. 19</v>
      </c>
      <c r="E3" s="20" t="s">
        <v>171</v>
      </c>
      <c r="G3" s="20" t="str">
        <f>+Resultados!F3</f>
        <v>2020 / 2019</v>
      </c>
    </row>
    <row r="4" spans="2:13">
      <c r="B4" s="9" t="s">
        <v>324</v>
      </c>
      <c r="C4" s="22">
        <v>450436685</v>
      </c>
      <c r="D4" s="22">
        <v>455752043</v>
      </c>
      <c r="E4" s="23">
        <v>-1.2E-2</v>
      </c>
      <c r="G4" s="22">
        <f>+C4-D4</f>
        <v>-5315358</v>
      </c>
      <c r="J4" s="54"/>
      <c r="K4" s="55"/>
      <c r="L4" s="55"/>
      <c r="M4" s="55"/>
    </row>
    <row r="5" spans="2:13">
      <c r="B5" s="9" t="s">
        <v>325</v>
      </c>
      <c r="C5" s="22">
        <v>910103</v>
      </c>
      <c r="D5" s="22">
        <v>1086210</v>
      </c>
      <c r="E5" s="23">
        <v>-0.16200000000000001</v>
      </c>
      <c r="F5" s="41"/>
      <c r="G5" s="22">
        <f t="shared" ref="G5:G15" si="0">+C5-D5</f>
        <v>-176107</v>
      </c>
      <c r="J5" s="54"/>
      <c r="K5" s="55"/>
      <c r="L5" s="55"/>
      <c r="M5" s="55"/>
    </row>
    <row r="6" spans="2:13">
      <c r="B6" s="9" t="s">
        <v>326</v>
      </c>
      <c r="C6" s="22">
        <v>-220762718</v>
      </c>
      <c r="D6" s="22">
        <v>-177496902</v>
      </c>
      <c r="E6" s="23">
        <v>0.24399999999999999</v>
      </c>
      <c r="G6" s="22">
        <f t="shared" si="0"/>
        <v>-43265816</v>
      </c>
      <c r="J6" s="54"/>
      <c r="K6" s="55"/>
      <c r="L6" s="55"/>
      <c r="M6" s="55"/>
    </row>
    <row r="7" spans="2:13" s="26" customFormat="1">
      <c r="B7" s="8" t="s">
        <v>172</v>
      </c>
      <c r="C7" s="24">
        <v>230584070</v>
      </c>
      <c r="D7" s="24">
        <v>279341351</v>
      </c>
      <c r="E7" s="25">
        <v>-0.17499999999999999</v>
      </c>
      <c r="G7" s="24">
        <f t="shared" si="0"/>
        <v>-48757281</v>
      </c>
      <c r="J7" s="57"/>
      <c r="K7" s="58"/>
      <c r="L7" s="58"/>
      <c r="M7" s="58"/>
    </row>
    <row r="8" spans="2:13">
      <c r="B8" s="9" t="s">
        <v>327</v>
      </c>
      <c r="C8" s="22">
        <v>-65335155</v>
      </c>
      <c r="D8" s="22">
        <v>-62245336</v>
      </c>
      <c r="E8" s="23">
        <v>0.05</v>
      </c>
      <c r="G8" s="22">
        <f t="shared" si="0"/>
        <v>-3089819</v>
      </c>
      <c r="J8" s="54"/>
      <c r="K8" s="55"/>
      <c r="L8" s="55"/>
      <c r="M8" s="55"/>
    </row>
    <row r="9" spans="2:13" s="26" customFormat="1">
      <c r="B9" s="8" t="s">
        <v>328</v>
      </c>
      <c r="C9" s="24">
        <v>165248915</v>
      </c>
      <c r="D9" s="24">
        <v>217096015</v>
      </c>
      <c r="E9" s="25">
        <v>-0.23899999999999999</v>
      </c>
      <c r="G9" s="24">
        <f t="shared" si="0"/>
        <v>-51847100</v>
      </c>
      <c r="J9" s="57"/>
      <c r="K9" s="58"/>
      <c r="L9" s="58"/>
      <c r="M9" s="58"/>
    </row>
    <row r="10" spans="2:13">
      <c r="B10" s="9" t="s">
        <v>329</v>
      </c>
      <c r="C10" s="22">
        <v>-3599552</v>
      </c>
      <c r="D10" s="22">
        <v>14565857</v>
      </c>
      <c r="E10" s="23">
        <v>-1.2470000000000001</v>
      </c>
      <c r="F10" s="41"/>
      <c r="G10" s="22">
        <f t="shared" si="0"/>
        <v>-18165409</v>
      </c>
      <c r="J10" s="54"/>
      <c r="K10" s="55"/>
      <c r="L10" s="55"/>
      <c r="M10" s="55"/>
    </row>
    <row r="11" spans="2:13">
      <c r="B11" s="52" t="s">
        <v>301</v>
      </c>
      <c r="C11" s="22">
        <v>-1404946</v>
      </c>
      <c r="D11" s="22">
        <v>0</v>
      </c>
      <c r="E11" s="23" t="s">
        <v>281</v>
      </c>
      <c r="F11" s="94"/>
      <c r="G11" s="22">
        <f t="shared" si="0"/>
        <v>-1404946</v>
      </c>
      <c r="J11" s="54"/>
      <c r="K11" s="55"/>
      <c r="L11" s="55"/>
      <c r="M11" s="55"/>
    </row>
    <row r="12" spans="2:13">
      <c r="B12" s="9" t="s">
        <v>330</v>
      </c>
      <c r="C12" s="22">
        <v>-46979769</v>
      </c>
      <c r="D12" s="22">
        <v>-43024089</v>
      </c>
      <c r="E12" s="23">
        <v>9.1999999999999998E-2</v>
      </c>
      <c r="G12" s="22">
        <f t="shared" si="0"/>
        <v>-3955680</v>
      </c>
      <c r="J12" s="54"/>
      <c r="K12" s="55"/>
      <c r="L12" s="55"/>
      <c r="M12" s="55"/>
    </row>
    <row r="13" spans="2:13">
      <c r="B13" s="9" t="s">
        <v>331</v>
      </c>
      <c r="C13" s="22">
        <v>-26020405</v>
      </c>
      <c r="D13" s="22">
        <v>-48385103</v>
      </c>
      <c r="E13" s="23">
        <v>-0.46200000000000002</v>
      </c>
      <c r="G13" s="22">
        <f t="shared" si="0"/>
        <v>22364698</v>
      </c>
      <c r="J13" s="54"/>
      <c r="K13" s="55"/>
      <c r="L13" s="55"/>
      <c r="M13" s="55"/>
    </row>
    <row r="14" spans="2:13">
      <c r="B14" s="18" t="s">
        <v>304</v>
      </c>
      <c r="C14" s="22">
        <v>10918154</v>
      </c>
      <c r="D14" s="22">
        <v>-2970428</v>
      </c>
      <c r="E14" s="23" t="s">
        <v>277</v>
      </c>
      <c r="G14" s="22">
        <f t="shared" si="0"/>
        <v>13888582</v>
      </c>
      <c r="J14" s="54"/>
      <c r="K14" s="55"/>
      <c r="L14" s="55"/>
      <c r="M14" s="55"/>
    </row>
    <row r="15" spans="2:13" s="59" customFormat="1">
      <c r="B15" s="93" t="s">
        <v>305</v>
      </c>
      <c r="C15" s="60">
        <v>96488570</v>
      </c>
      <c r="D15" s="60">
        <v>139269068</v>
      </c>
      <c r="E15" s="25">
        <v>-0.307</v>
      </c>
      <c r="G15" s="60">
        <f t="shared" si="0"/>
        <v>-42780498</v>
      </c>
      <c r="J15" s="61"/>
      <c r="K15" s="62"/>
      <c r="L15" s="62"/>
      <c r="M15" s="62"/>
    </row>
    <row r="16" spans="2:13">
      <c r="C16" s="395"/>
      <c r="D16" s="395"/>
      <c r="J16" s="54"/>
      <c r="M16" s="55"/>
    </row>
    <row r="17" spans="2:10">
      <c r="C17" s="55"/>
      <c r="D17" s="55"/>
      <c r="J17" s="54"/>
    </row>
    <row r="18" spans="2:10">
      <c r="B18" s="5" t="s">
        <v>332</v>
      </c>
      <c r="J18" s="54"/>
    </row>
    <row r="19" spans="2:10">
      <c r="J19" s="54"/>
    </row>
    <row r="20" spans="2:10" ht="14.4" thickBot="1">
      <c r="B20" s="10" t="s">
        <v>295</v>
      </c>
      <c r="C20" s="20" t="str">
        <f>+C3</f>
        <v xml:space="preserve">         Dec. 20</v>
      </c>
      <c r="D20" s="20" t="str">
        <f>+D3</f>
        <v xml:space="preserve">               Dec. 19</v>
      </c>
      <c r="E20" s="20" t="s">
        <v>171</v>
      </c>
      <c r="G20" s="20" t="str">
        <f>+G3</f>
        <v>2020 / 2019</v>
      </c>
    </row>
    <row r="21" spans="2:10">
      <c r="B21" s="9" t="s">
        <v>324</v>
      </c>
      <c r="C21" s="22">
        <v>28336877</v>
      </c>
      <c r="D21" s="22">
        <v>28577041</v>
      </c>
      <c r="E21" s="23">
        <v>-8.0000000000000002E-3</v>
      </c>
      <c r="G21" s="22">
        <f>+C21-D21</f>
        <v>-240164</v>
      </c>
    </row>
    <row r="22" spans="2:10">
      <c r="B22" s="9" t="s">
        <v>325</v>
      </c>
      <c r="C22" s="22">
        <v>4152000</v>
      </c>
      <c r="D22" s="22">
        <v>4709044</v>
      </c>
      <c r="E22" s="23">
        <v>-0.11799999999999999</v>
      </c>
      <c r="G22" s="22">
        <f t="shared" ref="G22:G30" si="1">+C22-D22</f>
        <v>-557044</v>
      </c>
    </row>
    <row r="23" spans="2:10">
      <c r="B23" s="9" t="s">
        <v>326</v>
      </c>
      <c r="C23" s="22">
        <v>-26958633</v>
      </c>
      <c r="D23" s="22">
        <v>-27183218</v>
      </c>
      <c r="E23" s="23">
        <v>-8.0000000000000002E-3</v>
      </c>
      <c r="G23" s="22">
        <f t="shared" si="1"/>
        <v>224585</v>
      </c>
    </row>
    <row r="24" spans="2:10">
      <c r="B24" s="8" t="s">
        <v>172</v>
      </c>
      <c r="C24" s="24">
        <v>5530244</v>
      </c>
      <c r="D24" s="24">
        <v>6102867</v>
      </c>
      <c r="E24" s="25">
        <v>-9.4E-2</v>
      </c>
      <c r="F24" s="26"/>
      <c r="G24" s="24">
        <f t="shared" si="1"/>
        <v>-572623</v>
      </c>
    </row>
    <row r="25" spans="2:10">
      <c r="B25" s="9" t="s">
        <v>327</v>
      </c>
      <c r="C25" s="22">
        <v>-1828695</v>
      </c>
      <c r="D25" s="22">
        <v>-1869315</v>
      </c>
      <c r="E25" s="23">
        <v>-2.1999999999999999E-2</v>
      </c>
      <c r="G25" s="22">
        <f t="shared" si="1"/>
        <v>40620</v>
      </c>
    </row>
    <row r="26" spans="2:10">
      <c r="B26" s="8" t="s">
        <v>328</v>
      </c>
      <c r="C26" s="24">
        <v>3701549</v>
      </c>
      <c r="D26" s="24">
        <v>4233552</v>
      </c>
      <c r="E26" s="25">
        <v>-0.126</v>
      </c>
      <c r="F26" s="26"/>
      <c r="G26" s="24">
        <f t="shared" si="1"/>
        <v>-532003</v>
      </c>
    </row>
    <row r="27" spans="2:10">
      <c r="B27" s="9" t="s">
        <v>329</v>
      </c>
      <c r="C27" s="22">
        <v>-367740</v>
      </c>
      <c r="D27" s="22">
        <v>-257230</v>
      </c>
      <c r="E27" s="23">
        <v>0.43</v>
      </c>
      <c r="G27" s="22">
        <f t="shared" si="1"/>
        <v>-110510</v>
      </c>
    </row>
    <row r="28" spans="2:10">
      <c r="B28" s="9" t="s">
        <v>330</v>
      </c>
      <c r="C28" s="22">
        <v>-163530</v>
      </c>
      <c r="D28" s="22">
        <v>-541277</v>
      </c>
      <c r="E28" s="23">
        <v>-0.69799999999999995</v>
      </c>
      <c r="G28" s="22">
        <f t="shared" si="1"/>
        <v>377747</v>
      </c>
    </row>
    <row r="29" spans="2:10">
      <c r="B29" s="9" t="s">
        <v>331</v>
      </c>
      <c r="C29" s="22">
        <v>-967181</v>
      </c>
      <c r="D29" s="22">
        <v>-966925</v>
      </c>
      <c r="E29" s="23">
        <v>0</v>
      </c>
      <c r="G29" s="22">
        <f t="shared" si="1"/>
        <v>-256</v>
      </c>
    </row>
    <row r="30" spans="2:10">
      <c r="B30" s="8" t="s">
        <v>333</v>
      </c>
      <c r="C30" s="24">
        <v>2203098</v>
      </c>
      <c r="D30" s="24">
        <v>2468120</v>
      </c>
      <c r="E30" s="25">
        <v>-0.107</v>
      </c>
      <c r="F30" s="26"/>
      <c r="G30" s="24">
        <f t="shared" si="1"/>
        <v>-265022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39"/>
  <sheetViews>
    <sheetView showGridLines="0" workbookViewId="0">
      <selection activeCell="H8" sqref="H8"/>
    </sheetView>
  </sheetViews>
  <sheetFormatPr baseColWidth="10" defaultColWidth="11.44140625" defaultRowHeight="15" customHeight="1"/>
  <cols>
    <col min="1" max="1" width="4" style="64" customWidth="1"/>
    <col min="2" max="2" width="25.21875" style="64" bestFit="1" customWidth="1"/>
    <col min="3" max="16384" width="11.44140625" style="64"/>
  </cols>
  <sheetData>
    <row r="1" spans="1:14" ht="15" customHeight="1">
      <c r="A1" s="63" t="s">
        <v>292</v>
      </c>
    </row>
    <row r="3" spans="1:14" s="65" customFormat="1" ht="15" customHeight="1" thickBot="1">
      <c r="B3" s="10" t="s">
        <v>337</v>
      </c>
      <c r="C3" s="20" t="s">
        <v>334</v>
      </c>
      <c r="D3" s="20" t="s">
        <v>335</v>
      </c>
      <c r="E3" s="20" t="s">
        <v>171</v>
      </c>
      <c r="F3" s="21"/>
      <c r="G3" s="20" t="s">
        <v>336</v>
      </c>
    </row>
    <row r="4" spans="1:14" ht="15" customHeight="1">
      <c r="B4" s="9" t="s">
        <v>296</v>
      </c>
      <c r="C4" s="466">
        <v>129721186</v>
      </c>
      <c r="D4" s="466">
        <v>123372144</v>
      </c>
      <c r="E4" s="23">
        <f>+ROUND(G4/D4,3)</f>
        <v>5.0999999999999997E-2</v>
      </c>
      <c r="F4" s="21"/>
      <c r="G4" s="22">
        <f>+C4-D4</f>
        <v>6349042</v>
      </c>
    </row>
    <row r="5" spans="1:14" s="66" customFormat="1" ht="15" customHeight="1">
      <c r="B5" s="9" t="s">
        <v>297</v>
      </c>
      <c r="C5" s="466">
        <v>-77210262</v>
      </c>
      <c r="D5" s="466">
        <v>-51801527</v>
      </c>
      <c r="E5" s="23">
        <f t="shared" ref="E5:E14" si="0">+ROUND(G5/D5,3)</f>
        <v>0.49099999999999999</v>
      </c>
      <c r="F5" s="21"/>
      <c r="G5" s="22">
        <f t="shared" ref="G5:G14" si="1">+C5-D5</f>
        <v>-25408735</v>
      </c>
    </row>
    <row r="6" spans="1:14" s="66" customFormat="1" ht="15" customHeight="1">
      <c r="B6" s="8" t="s">
        <v>172</v>
      </c>
      <c r="C6" s="506">
        <f>SUM(C4:C5)</f>
        <v>52510924</v>
      </c>
      <c r="D6" s="506">
        <f>SUM(D4:D5)</f>
        <v>71570617</v>
      </c>
      <c r="E6" s="25">
        <f t="shared" si="0"/>
        <v>-0.26600000000000001</v>
      </c>
      <c r="F6" s="26"/>
      <c r="G6" s="24">
        <f t="shared" si="1"/>
        <v>-19059693</v>
      </c>
    </row>
    <row r="7" spans="1:14" s="66" customFormat="1" ht="15" customHeight="1">
      <c r="B7" s="9" t="s">
        <v>298</v>
      </c>
      <c r="C7" s="466">
        <v>-17417464</v>
      </c>
      <c r="D7" s="466">
        <v>-17078072</v>
      </c>
      <c r="E7" s="23">
        <f t="shared" si="0"/>
        <v>0.02</v>
      </c>
      <c r="F7" s="21"/>
      <c r="G7" s="22">
        <f t="shared" si="1"/>
        <v>-339392</v>
      </c>
      <c r="L7" s="45"/>
      <c r="M7" s="45"/>
      <c r="N7" s="67"/>
    </row>
    <row r="8" spans="1:14" s="66" customFormat="1" ht="15" customHeight="1">
      <c r="B8" s="8" t="s">
        <v>299</v>
      </c>
      <c r="C8" s="506">
        <f>+C6+C7</f>
        <v>35093460</v>
      </c>
      <c r="D8" s="506">
        <f>+D6+D7</f>
        <v>54492545</v>
      </c>
      <c r="E8" s="25">
        <f t="shared" si="0"/>
        <v>-0.35599999999999998</v>
      </c>
      <c r="F8" s="26"/>
      <c r="G8" s="24">
        <f t="shared" si="1"/>
        <v>-19399085</v>
      </c>
    </row>
    <row r="9" spans="1:14" s="66" customFormat="1" ht="15" customHeight="1">
      <c r="B9" s="18" t="s">
        <v>338</v>
      </c>
      <c r="C9" s="466">
        <v>-2093189</v>
      </c>
      <c r="D9" s="466">
        <v>16044377</v>
      </c>
      <c r="E9" s="27">
        <f t="shared" si="0"/>
        <v>-1.1299999999999999</v>
      </c>
      <c r="F9" s="94"/>
      <c r="G9" s="22">
        <f t="shared" si="1"/>
        <v>-18137566</v>
      </c>
    </row>
    <row r="10" spans="1:14" s="66" customFormat="1" ht="15" customHeight="1">
      <c r="B10" s="9" t="s">
        <v>302</v>
      </c>
      <c r="C10" s="466">
        <v>-34520</v>
      </c>
      <c r="D10" s="466">
        <v>0</v>
      </c>
      <c r="E10" s="27" t="s">
        <v>281</v>
      </c>
      <c r="F10" s="94"/>
      <c r="G10" s="22">
        <f t="shared" si="1"/>
        <v>-34520</v>
      </c>
    </row>
    <row r="11" spans="1:14" s="66" customFormat="1" ht="15" customHeight="1">
      <c r="B11" s="52" t="s">
        <v>301</v>
      </c>
      <c r="C11" s="466">
        <v>-14939258</v>
      </c>
      <c r="D11" s="466">
        <v>-13555576</v>
      </c>
      <c r="E11" s="27">
        <f t="shared" si="0"/>
        <v>0.10199999999999999</v>
      </c>
      <c r="F11" s="29"/>
      <c r="G11" s="28">
        <f t="shared" si="1"/>
        <v>-1383682</v>
      </c>
    </row>
    <row r="12" spans="1:14" s="66" customFormat="1" ht="15" customHeight="1">
      <c r="B12" s="9" t="s">
        <v>303</v>
      </c>
      <c r="C12" s="466">
        <v>-2523215</v>
      </c>
      <c r="D12" s="466">
        <v>-14645197</v>
      </c>
      <c r="E12" s="23">
        <f t="shared" si="0"/>
        <v>-0.82799999999999996</v>
      </c>
      <c r="F12" s="21"/>
      <c r="G12" s="22">
        <f t="shared" si="1"/>
        <v>12121982</v>
      </c>
    </row>
    <row r="13" spans="1:14" s="66" customFormat="1" ht="15" customHeight="1">
      <c r="B13" s="18" t="s">
        <v>304</v>
      </c>
      <c r="C13" s="466">
        <v>7324842</v>
      </c>
      <c r="D13" s="466">
        <v>-1216493</v>
      </c>
      <c r="E13" s="23">
        <f t="shared" si="0"/>
        <v>-7.0209999999999999</v>
      </c>
      <c r="F13" s="21"/>
      <c r="G13" s="22">
        <f t="shared" si="1"/>
        <v>8541335</v>
      </c>
    </row>
    <row r="14" spans="1:14" s="66" customFormat="1" ht="15" customHeight="1">
      <c r="B14" s="8" t="s">
        <v>305</v>
      </c>
      <c r="C14" s="467">
        <v>26175218</v>
      </c>
      <c r="D14" s="467">
        <v>37817198</v>
      </c>
      <c r="E14" s="25">
        <f t="shared" si="0"/>
        <v>-0.308</v>
      </c>
      <c r="F14" s="26"/>
      <c r="G14" s="24">
        <f t="shared" si="1"/>
        <v>-11641980</v>
      </c>
    </row>
    <row r="15" spans="1:14" s="66" customFormat="1" ht="15" customHeight="1">
      <c r="C15" s="56"/>
    </row>
    <row r="16" spans="1:14" s="66" customFormat="1" ht="15" customHeight="1"/>
    <row r="17" s="66" customFormat="1" ht="15" customHeight="1"/>
    <row r="18" s="66" customFormat="1" ht="15" customHeight="1"/>
    <row r="19" s="66" customFormat="1" ht="15" customHeight="1"/>
    <row r="20" s="66" customFormat="1" ht="15" customHeight="1"/>
    <row r="21" s="66" customFormat="1" ht="15" customHeight="1"/>
    <row r="22" s="66" customFormat="1" ht="15" customHeight="1"/>
    <row r="23" s="66" customFormat="1" ht="15" customHeight="1"/>
    <row r="24" s="66" customFormat="1" ht="15" customHeight="1"/>
    <row r="25" s="66" customFormat="1" ht="15" customHeight="1"/>
    <row r="26" s="66" customFormat="1" ht="15" customHeight="1"/>
    <row r="27" s="66" customFormat="1" ht="15" customHeight="1"/>
    <row r="28" s="66" customFormat="1" ht="15" customHeight="1"/>
    <row r="39" s="65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3:G32"/>
  <sheetViews>
    <sheetView showGridLines="0" topLeftCell="A16" workbookViewId="0">
      <selection activeCell="E26" sqref="E26"/>
    </sheetView>
  </sheetViews>
  <sheetFormatPr baseColWidth="10" defaultColWidth="11.44140625" defaultRowHeight="15" customHeight="1"/>
  <cols>
    <col min="1" max="1" width="3.77734375" style="21" customWidth="1"/>
    <col min="2" max="2" width="68.21875" style="21" bestFit="1" customWidth="1"/>
    <col min="3" max="4" width="13.77734375" style="21" customWidth="1"/>
    <col min="5" max="5" width="9.21875" style="21" customWidth="1"/>
    <col min="6" max="16384" width="11.44140625" style="21"/>
  </cols>
  <sheetData>
    <row r="3" spans="2:7" ht="15" customHeight="1" thickBot="1">
      <c r="C3" s="20" t="str">
        <f>+Resultados!C3</f>
        <v xml:space="preserve">         Dec. 20</v>
      </c>
      <c r="D3" s="20" t="s">
        <v>352</v>
      </c>
      <c r="E3" s="521" t="s">
        <v>171</v>
      </c>
    </row>
    <row r="4" spans="2:7" ht="15" customHeight="1" thickBot="1">
      <c r="B4" s="68"/>
      <c r="C4" s="20" t="s">
        <v>313</v>
      </c>
      <c r="D4" s="20" t="s">
        <v>313</v>
      </c>
      <c r="E4" s="520"/>
    </row>
    <row r="5" spans="2:7" ht="15" customHeight="1">
      <c r="B5" s="505" t="s">
        <v>339</v>
      </c>
    </row>
    <row r="6" spans="2:7" ht="12.75" customHeight="1">
      <c r="B6" s="9" t="s">
        <v>340</v>
      </c>
      <c r="C6" s="493">
        <f>ROUND(Balance!D13,0)</f>
        <v>298418476</v>
      </c>
      <c r="D6" s="493">
        <f>ROUND(Balance!E13,0)</f>
        <v>197676646</v>
      </c>
      <c r="E6" s="23">
        <f>ROUND((C6/D6)-1,3)</f>
        <v>0.51</v>
      </c>
      <c r="G6" s="46">
        <f>+C6-D6</f>
        <v>100741830</v>
      </c>
    </row>
    <row r="7" spans="2:7" ht="12.75" customHeight="1">
      <c r="B7" s="9" t="s">
        <v>341</v>
      </c>
      <c r="C7" s="493">
        <f>ROUND(Balance!D14,0)</f>
        <v>3836023</v>
      </c>
      <c r="D7" s="493">
        <f>ROUND(Balance!E14,0)</f>
        <v>0</v>
      </c>
      <c r="E7" s="23" t="s">
        <v>281</v>
      </c>
      <c r="G7" s="46">
        <f>+C7-D7</f>
        <v>3836023</v>
      </c>
    </row>
    <row r="8" spans="2:7" ht="12.75" customHeight="1">
      <c r="B8" s="18" t="s">
        <v>342</v>
      </c>
      <c r="C8" s="493">
        <f>ROUND(Balance!D26,0)</f>
        <v>1842181989</v>
      </c>
      <c r="D8" s="493">
        <f>ROUND(Balance!E26,0)</f>
        <v>1803767656</v>
      </c>
      <c r="E8" s="23">
        <f>ROUND((C8/D8)-1,3)</f>
        <v>2.1000000000000001E-2</v>
      </c>
      <c r="G8" s="46">
        <f t="shared" ref="G8:G18" si="0">+C8-D8</f>
        <v>38414333</v>
      </c>
    </row>
    <row r="9" spans="2:7" ht="12.75" customHeight="1">
      <c r="B9" s="19" t="s">
        <v>343</v>
      </c>
      <c r="C9" s="494">
        <f>SUM(C6:C8)</f>
        <v>2144436488</v>
      </c>
      <c r="D9" s="494">
        <f>SUM(D6:D8)</f>
        <v>2001444302</v>
      </c>
      <c r="E9" s="25">
        <f>ROUND((C9/D9)-1,3)</f>
        <v>7.0999999999999994E-2</v>
      </c>
      <c r="G9" s="46">
        <f t="shared" si="0"/>
        <v>142992186</v>
      </c>
    </row>
    <row r="10" spans="2:7" ht="12.75" customHeight="1">
      <c r="B10" s="4" t="s">
        <v>344</v>
      </c>
      <c r="C10" s="495"/>
      <c r="D10" s="495"/>
      <c r="E10" s="69"/>
      <c r="G10" s="46">
        <f t="shared" si="0"/>
        <v>0</v>
      </c>
    </row>
    <row r="11" spans="2:7" ht="12.75" customHeight="1">
      <c r="B11" s="9" t="s">
        <v>345</v>
      </c>
      <c r="C11" s="493">
        <f>ROUND(+Balance!D42,0)</f>
        <v>244032589</v>
      </c>
      <c r="D11" s="493">
        <f>ROUND(+Balance!E42,0)</f>
        <v>242137717</v>
      </c>
      <c r="E11" s="23">
        <f>ROUND((C11/D11)-1,3)</f>
        <v>8.0000000000000002E-3</v>
      </c>
      <c r="G11" s="46">
        <f t="shared" si="0"/>
        <v>1894872</v>
      </c>
    </row>
    <row r="12" spans="2:7" ht="12.75" customHeight="1">
      <c r="B12" s="9" t="s">
        <v>346</v>
      </c>
      <c r="C12" s="493">
        <f>ROUND(+Balance!D54,0)</f>
        <v>1059655092</v>
      </c>
      <c r="D12" s="493">
        <f>ROUND(+Balance!E54,0)</f>
        <v>1071833122</v>
      </c>
      <c r="E12" s="23">
        <f>ROUND((C12/D12)-1,3)</f>
        <v>-1.0999999999999999E-2</v>
      </c>
      <c r="G12" s="46">
        <f t="shared" si="0"/>
        <v>-12178030</v>
      </c>
    </row>
    <row r="13" spans="2:7" ht="12.75" customHeight="1">
      <c r="B13" s="19" t="s">
        <v>347</v>
      </c>
      <c r="C13" s="494">
        <f>SUM(C11:C12)</f>
        <v>1303687681</v>
      </c>
      <c r="D13" s="494">
        <f>SUM(D11:D12)</f>
        <v>1313970839</v>
      </c>
      <c r="E13" s="25">
        <f>ROUND((C13/D13)-1,3)</f>
        <v>-8.0000000000000002E-3</v>
      </c>
      <c r="G13" s="46">
        <f t="shared" si="0"/>
        <v>-10283158</v>
      </c>
    </row>
    <row r="14" spans="2:7" ht="12.75" customHeight="1">
      <c r="C14" s="495"/>
      <c r="D14" s="495"/>
      <c r="E14" s="69"/>
      <c r="G14" s="46">
        <f t="shared" si="0"/>
        <v>0</v>
      </c>
    </row>
    <row r="15" spans="2:7" ht="12.75" customHeight="1">
      <c r="B15" s="9" t="s">
        <v>348</v>
      </c>
      <c r="C15" s="493">
        <f>ROUND(+Balance!D63,0)</f>
        <v>840723242</v>
      </c>
      <c r="D15" s="493">
        <f>ROUND(+Balance!E63,0)</f>
        <v>644453334</v>
      </c>
      <c r="E15" s="23">
        <f>ROUND((C15/D15)-1,3)</f>
        <v>0.30499999999999999</v>
      </c>
      <c r="G15" s="46">
        <f t="shared" si="0"/>
        <v>196269908</v>
      </c>
    </row>
    <row r="16" spans="2:7" ht="12.75" customHeight="1">
      <c r="B16" s="9" t="s">
        <v>349</v>
      </c>
      <c r="C16" s="493">
        <f>ROUND(+Balance!D64,0)</f>
        <v>25565</v>
      </c>
      <c r="D16" s="493">
        <f>ROUND(+Balance!E64,0)</f>
        <v>43020129</v>
      </c>
      <c r="E16" s="23">
        <f>ROUND((C16/D16)-1,3)</f>
        <v>-0.999</v>
      </c>
      <c r="G16" s="46">
        <f t="shared" si="0"/>
        <v>-42994564</v>
      </c>
    </row>
    <row r="17" spans="2:7" ht="12.75" customHeight="1">
      <c r="B17" s="8" t="s">
        <v>350</v>
      </c>
      <c r="C17" s="494">
        <f>+C16+C15</f>
        <v>840748807</v>
      </c>
      <c r="D17" s="494">
        <f>+D16+D15</f>
        <v>687473463</v>
      </c>
      <c r="E17" s="25">
        <f t="shared" ref="E17:E18" si="1">ROUND((C17/D17)-1,3)</f>
        <v>0.223</v>
      </c>
      <c r="G17" s="46">
        <f t="shared" si="0"/>
        <v>153275344</v>
      </c>
    </row>
    <row r="18" spans="2:7" ht="12.75" customHeight="1">
      <c r="B18" s="5" t="s">
        <v>351</v>
      </c>
      <c r="C18" s="494">
        <f>+C17+C13</f>
        <v>2144436488</v>
      </c>
      <c r="D18" s="494">
        <f>+D17+D13</f>
        <v>2001444302</v>
      </c>
      <c r="E18" s="25">
        <f t="shared" si="1"/>
        <v>7.0999999999999994E-2</v>
      </c>
      <c r="G18" s="46">
        <f t="shared" si="0"/>
        <v>142992186</v>
      </c>
    </row>
    <row r="20" spans="2:7" ht="15" customHeight="1">
      <c r="C20" s="478">
        <f>+C9-C18</f>
        <v>0</v>
      </c>
      <c r="D20" s="478">
        <f>+D9-D18</f>
        <v>0</v>
      </c>
    </row>
    <row r="23" spans="2:7" ht="15" customHeight="1" thickBot="1">
      <c r="B23" s="17" t="s">
        <v>362</v>
      </c>
      <c r="C23" s="70" t="str">
        <f>+C3</f>
        <v xml:space="preserve">         Dec. 20</v>
      </c>
    </row>
    <row r="24" spans="2:7" ht="15" customHeight="1">
      <c r="B24" s="18" t="s">
        <v>353</v>
      </c>
      <c r="C24" s="95">
        <v>15476490</v>
      </c>
    </row>
    <row r="25" spans="2:7" ht="15" customHeight="1">
      <c r="B25" s="18" t="s">
        <v>354</v>
      </c>
      <c r="C25" s="95">
        <v>13495097</v>
      </c>
    </row>
    <row r="26" spans="2:7" s="29" customFormat="1" ht="15" customHeight="1">
      <c r="B26" s="18" t="s">
        <v>355</v>
      </c>
      <c r="C26" s="95">
        <v>12154077</v>
      </c>
    </row>
    <row r="27" spans="2:7" ht="15" customHeight="1">
      <c r="B27" s="18" t="s">
        <v>356</v>
      </c>
      <c r="C27" s="95">
        <v>9363553</v>
      </c>
    </row>
    <row r="28" spans="2:7" ht="15" customHeight="1">
      <c r="B28" s="18" t="s">
        <v>357</v>
      </c>
      <c r="C28" s="95">
        <v>7487595</v>
      </c>
    </row>
    <row r="29" spans="2:7" ht="15" customHeight="1">
      <c r="B29" s="18" t="s">
        <v>358</v>
      </c>
      <c r="C29" s="95">
        <v>6464265</v>
      </c>
    </row>
    <row r="30" spans="2:7" ht="15" customHeight="1">
      <c r="B30" s="18" t="s">
        <v>359</v>
      </c>
      <c r="C30" s="95">
        <v>5792445</v>
      </c>
    </row>
    <row r="31" spans="2:7" ht="15" customHeight="1">
      <c r="B31" s="3" t="s">
        <v>360</v>
      </c>
      <c r="C31" s="95">
        <v>4581857</v>
      </c>
    </row>
    <row r="32" spans="2:7" ht="15" customHeight="1">
      <c r="B32" s="3" t="s">
        <v>361</v>
      </c>
      <c r="C32" s="95">
        <v>3470496</v>
      </c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M50"/>
  <sheetViews>
    <sheetView showGridLines="0" workbookViewId="0">
      <selection activeCell="K30" sqref="K30"/>
    </sheetView>
  </sheetViews>
  <sheetFormatPr baseColWidth="10" defaultColWidth="11.44140625" defaultRowHeight="15" customHeight="1"/>
  <cols>
    <col min="1" max="1" width="26.77734375" style="21" customWidth="1"/>
    <col min="2" max="2" width="24.77734375" style="21" bestFit="1" customWidth="1"/>
    <col min="3" max="3" width="11.44140625" style="21"/>
    <col min="4" max="4" width="10.77734375" style="21" bestFit="1" customWidth="1"/>
    <col min="5" max="5" width="9.77734375" style="21" customWidth="1"/>
    <col min="6" max="6" width="9.44140625" style="21" customWidth="1"/>
    <col min="7" max="7" width="10.21875" style="21" customWidth="1"/>
    <col min="8" max="8" width="12.33203125" style="21" customWidth="1"/>
    <col min="9" max="9" width="11.44140625" style="21"/>
    <col min="10" max="10" width="14.5546875" style="21" customWidth="1"/>
    <col min="11" max="11" width="11.44140625" style="21"/>
    <col min="12" max="12" width="30.21875" style="21" bestFit="1" customWidth="1"/>
    <col min="13" max="16384" width="11.44140625" style="21"/>
  </cols>
  <sheetData>
    <row r="1" spans="2:13" ht="15" customHeight="1">
      <c r="E1" s="71"/>
      <c r="F1" s="71"/>
      <c r="G1" s="71"/>
      <c r="H1" s="71"/>
    </row>
    <row r="2" spans="2:13" ht="18.75" customHeight="1" thickBot="1">
      <c r="B2" s="2" t="s">
        <v>363</v>
      </c>
      <c r="C2" s="72" t="s">
        <v>367</v>
      </c>
      <c r="D2" s="72" t="s">
        <v>174</v>
      </c>
      <c r="E2" s="510" t="s">
        <v>370</v>
      </c>
      <c r="F2" s="510" t="s">
        <v>371</v>
      </c>
      <c r="G2" s="510" t="s">
        <v>372</v>
      </c>
      <c r="H2" s="510" t="s">
        <v>373</v>
      </c>
      <c r="J2" s="383" t="s">
        <v>241</v>
      </c>
      <c r="K2" s="384" t="s">
        <v>240</v>
      </c>
    </row>
    <row r="3" spans="2:13" ht="15" customHeight="1">
      <c r="B3" s="1" t="s">
        <v>175</v>
      </c>
      <c r="C3" s="73" t="s">
        <v>61</v>
      </c>
      <c r="D3" s="379">
        <f>SUM(E3:H3)</f>
        <v>192332046</v>
      </c>
      <c r="E3" s="380">
        <f>+'[2]Contable M$'!$C$8+'[2]Contable M$'!$E$8</f>
        <v>20182473</v>
      </c>
      <c r="F3" s="380">
        <f>+'[2]Contable M$'!$G$8</f>
        <v>51169685</v>
      </c>
      <c r="G3" s="380">
        <f>+'[2]Contable M$'!$I$8</f>
        <v>34103965</v>
      </c>
      <c r="H3" s="380">
        <f>+'[2]Contable M$'!$K$8</f>
        <v>86875923</v>
      </c>
      <c r="J3" s="470">
        <f>+'[3]N15.3 Clases Instrum. Finan.'!$E$24+'[3]N15.3 Clases Instrum. Finan.'!$E$41</f>
        <v>192332046.04400003</v>
      </c>
      <c r="K3" s="471">
        <f>+D3-J3</f>
        <v>-4.4000029563903809E-2</v>
      </c>
    </row>
    <row r="4" spans="2:13" ht="15" customHeight="1">
      <c r="B4" s="9" t="s">
        <v>364</v>
      </c>
      <c r="C4" s="73" t="s">
        <v>61</v>
      </c>
      <c r="D4" s="379">
        <f t="shared" ref="D4:D6" si="0">SUM(E4:H4)</f>
        <v>683979516</v>
      </c>
      <c r="E4" s="380">
        <f>+'[3]N15.4 Bonos periodo actual'!$P$27</f>
        <v>18566508</v>
      </c>
      <c r="F4" s="380">
        <f>+'[3]N15.4 Bonos periodo actual'!$P$31</f>
        <v>32659116</v>
      </c>
      <c r="G4" s="380">
        <f>+'[3]N15.4 Bonos periodo actual'!$P$35+'[3]N15.4 Bonos periodo actual'!$P$36</f>
        <v>16298677</v>
      </c>
      <c r="H4" s="380">
        <f>+'[3]N15.4 Bonos periodo actual'!$P$37</f>
        <v>616455215</v>
      </c>
      <c r="J4" s="470">
        <f>+'[3]N15.3 Clases Instrum. Finan.'!$E$23+'[3]N15.3 Clases Instrum. Finan.'!$E$40</f>
        <v>683979516</v>
      </c>
      <c r="K4" s="471">
        <f>+D4-J4</f>
        <v>0</v>
      </c>
    </row>
    <row r="5" spans="2:13" ht="15" customHeight="1">
      <c r="B5" s="9" t="s">
        <v>365</v>
      </c>
      <c r="C5" s="73" t="s">
        <v>61</v>
      </c>
      <c r="D5" s="379">
        <f t="shared" si="0"/>
        <v>193161801.50299996</v>
      </c>
      <c r="E5" s="380">
        <f>+'[3]N15.4 Prestamos periodo actual'!$N$27</f>
        <v>31994420.012999997</v>
      </c>
      <c r="F5" s="380">
        <f>+'[3]N15.4 Prestamos periodo actual'!$N$31</f>
        <v>116020353.359</v>
      </c>
      <c r="G5" s="380">
        <f>+'[3]N15.4 Prestamos periodo actual'!$N$34</f>
        <v>45147028.130999997</v>
      </c>
      <c r="H5" s="381">
        <f>+'[3]N15.4 Prestamos periodo actual'!$N$37</f>
        <v>0</v>
      </c>
      <c r="J5" s="470">
        <f>+'[3]N15.3 Clases Instrum. Finan.'!$E$22+'[3]N15.3 Clases Instrum. Finan.'!$E$39</f>
        <v>193161801.50300002</v>
      </c>
      <c r="K5" s="471">
        <f>+D5-J5</f>
        <v>0</v>
      </c>
    </row>
    <row r="6" spans="2:13" ht="15" customHeight="1" thickBot="1">
      <c r="B6" s="508" t="s">
        <v>279</v>
      </c>
      <c r="C6" s="500" t="s">
        <v>280</v>
      </c>
      <c r="D6" s="501">
        <f t="shared" si="0"/>
        <v>320893</v>
      </c>
      <c r="E6" s="502">
        <f>+'[3]N15.3 Clases Instrum. Finan.'!$E$25</f>
        <v>320893</v>
      </c>
      <c r="F6" s="502">
        <v>0</v>
      </c>
      <c r="G6" s="502">
        <v>0</v>
      </c>
      <c r="H6" s="503">
        <v>0</v>
      </c>
      <c r="J6" s="470">
        <f>+'[3]N15.3 Clases Instrum. Finan.'!$E$25</f>
        <v>320893</v>
      </c>
      <c r="K6" s="471">
        <f>+D6-J6</f>
        <v>0</v>
      </c>
    </row>
    <row r="7" spans="2:13" ht="15" customHeight="1">
      <c r="B7" s="19" t="s">
        <v>366</v>
      </c>
      <c r="C7" s="73"/>
      <c r="D7" s="379">
        <f>SUM(D3:D6)</f>
        <v>1069794256.503</v>
      </c>
      <c r="E7" s="379">
        <f t="shared" ref="E7:H7" si="1">SUM(E3:E6)</f>
        <v>71064294.012999997</v>
      </c>
      <c r="F7" s="379">
        <f t="shared" si="1"/>
        <v>199849154.359</v>
      </c>
      <c r="G7" s="379">
        <f t="shared" si="1"/>
        <v>95549670.130999997</v>
      </c>
      <c r="H7" s="379">
        <f t="shared" si="1"/>
        <v>703331138</v>
      </c>
      <c r="J7" s="470"/>
      <c r="K7" s="471"/>
    </row>
    <row r="8" spans="2:13" ht="15" customHeight="1">
      <c r="B8" s="499" t="s">
        <v>368</v>
      </c>
      <c r="C8" s="500" t="s">
        <v>61</v>
      </c>
      <c r="D8" s="501">
        <f t="shared" ref="D8" si="2">SUM(E8:H8)</f>
        <v>3788902</v>
      </c>
      <c r="E8" s="502">
        <f>ROUND((M16+M17),0)</f>
        <v>1413425</v>
      </c>
      <c r="F8" s="502">
        <f>ROUND((M19+M20),0)</f>
        <v>1430370</v>
      </c>
      <c r="G8" s="502">
        <f>ROUND((M21+M22),0)</f>
        <v>435473</v>
      </c>
      <c r="H8" s="502">
        <f>ROUND(M23,0)</f>
        <v>509634</v>
      </c>
      <c r="J8" s="470">
        <f>+'[3]N15.3 Clases Instrum. Finan.'!$E$27+'[3]N15.3 Clases Instrum. Finan.'!$E$43</f>
        <v>3788902</v>
      </c>
      <c r="K8" s="471">
        <f>+D8-J8</f>
        <v>0</v>
      </c>
    </row>
    <row r="9" spans="2:13" ht="15" customHeight="1" thickBot="1">
      <c r="B9" s="19" t="s">
        <v>369</v>
      </c>
      <c r="C9" s="75"/>
      <c r="D9" s="382">
        <f>+D8</f>
        <v>3788902</v>
      </c>
      <c r="E9" s="382">
        <f t="shared" ref="E9:H9" si="3">+E8</f>
        <v>1413425</v>
      </c>
      <c r="F9" s="382">
        <f t="shared" si="3"/>
        <v>1430370</v>
      </c>
      <c r="G9" s="382">
        <f t="shared" si="3"/>
        <v>435473</v>
      </c>
      <c r="H9" s="382">
        <f t="shared" si="3"/>
        <v>509634</v>
      </c>
      <c r="J9" s="470"/>
      <c r="K9" s="471"/>
    </row>
    <row r="10" spans="2:13" ht="15" customHeight="1">
      <c r="B10" s="509" t="s">
        <v>173</v>
      </c>
      <c r="C10" s="31"/>
      <c r="D10" s="379">
        <f>+D7+D9</f>
        <v>1073583158.503</v>
      </c>
      <c r="E10" s="379">
        <f t="shared" ref="E10:H10" si="4">+E7+E9</f>
        <v>72477719.012999997</v>
      </c>
      <c r="F10" s="379">
        <f t="shared" si="4"/>
        <v>201279524.359</v>
      </c>
      <c r="G10" s="379">
        <f t="shared" si="4"/>
        <v>95985143.130999997</v>
      </c>
      <c r="H10" s="379">
        <f t="shared" si="4"/>
        <v>703840772</v>
      </c>
      <c r="J10" s="43"/>
    </row>
    <row r="12" spans="2:13" ht="15" customHeight="1">
      <c r="B12" s="21" t="s">
        <v>200</v>
      </c>
      <c r="D12" s="43"/>
      <c r="E12" s="43"/>
      <c r="F12" s="21" t="s">
        <v>201</v>
      </c>
      <c r="G12" s="43"/>
      <c r="H12" s="43"/>
    </row>
    <row r="13" spans="2:13" ht="15" customHeight="1" thickBot="1">
      <c r="B13" s="76" t="str">
        <f>+B3</f>
        <v>AFRs</v>
      </c>
      <c r="C13" s="79">
        <f>ROUND(D13/$D$10,2)</f>
        <v>0.18</v>
      </c>
      <c r="D13" s="78">
        <f>+D3</f>
        <v>192332046</v>
      </c>
      <c r="E13" s="76"/>
      <c r="F13" s="76" t="s">
        <v>177</v>
      </c>
      <c r="G13" s="77">
        <f>ROUND(H13/$D$10,2)</f>
        <v>0.93</v>
      </c>
      <c r="H13" s="78">
        <f>+B35+B36+B37+B39</f>
        <v>994083164.32104003</v>
      </c>
    </row>
    <row r="14" spans="2:13" ht="15" customHeight="1">
      <c r="B14" s="76" t="str">
        <f>+B4</f>
        <v>Bonds</v>
      </c>
      <c r="C14" s="79">
        <f t="shared" ref="C14:C16" si="5">ROUND(D14/$D$10,2)</f>
        <v>0.64</v>
      </c>
      <c r="D14" s="78">
        <f>+D4</f>
        <v>683979516</v>
      </c>
      <c r="E14" s="76"/>
      <c r="F14" s="76" t="s">
        <v>176</v>
      </c>
      <c r="G14" s="79">
        <f>ROUND(H14/$D$10,2)</f>
        <v>7.0000000000000007E-2</v>
      </c>
      <c r="H14" s="78">
        <f>+B34</f>
        <v>79179101.388999999</v>
      </c>
      <c r="L14" s="522" t="s">
        <v>235</v>
      </c>
      <c r="M14" s="457">
        <f>+'[3]N13 Arrendamiento NIIF16'!$C$32</f>
        <v>44196</v>
      </c>
    </row>
    <row r="15" spans="2:13" ht="15" customHeight="1">
      <c r="B15" s="76" t="s">
        <v>188</v>
      </c>
      <c r="C15" s="79">
        <f t="shared" si="5"/>
        <v>0.18</v>
      </c>
      <c r="D15" s="78">
        <f>+D5</f>
        <v>193161801.50299996</v>
      </c>
      <c r="E15" s="76"/>
      <c r="F15" s="76"/>
      <c r="G15" s="80">
        <f>+G13+G14</f>
        <v>1</v>
      </c>
      <c r="H15" s="78"/>
      <c r="L15" s="523"/>
      <c r="M15" s="458" t="s">
        <v>4</v>
      </c>
    </row>
    <row r="16" spans="2:13" ht="15" customHeight="1">
      <c r="B16" s="18" t="s">
        <v>279</v>
      </c>
      <c r="C16" s="79">
        <f t="shared" si="5"/>
        <v>0</v>
      </c>
      <c r="D16" s="78">
        <f>+D6</f>
        <v>320893</v>
      </c>
      <c r="E16" s="33"/>
      <c r="F16" s="33"/>
      <c r="G16" s="82"/>
      <c r="L16" s="459" t="s">
        <v>236</v>
      </c>
      <c r="M16" s="460">
        <f>+'[3]N13 Arrendamiento NIIF16'!C34</f>
        <v>388624</v>
      </c>
    </row>
    <row r="17" spans="2:13" ht="15" customHeight="1">
      <c r="B17" s="76" t="str">
        <f>+B8</f>
        <v>Lease liabilities</v>
      </c>
      <c r="C17" s="79">
        <f>ROUND(D17/$D$10,2)</f>
        <v>0</v>
      </c>
      <c r="D17" s="78">
        <f>+D8</f>
        <v>3788902</v>
      </c>
      <c r="G17" s="83"/>
      <c r="L17" s="459" t="s">
        <v>237</v>
      </c>
      <c r="M17" s="460">
        <f>+'[3]N13 Arrendamiento NIIF16'!C35</f>
        <v>1024801</v>
      </c>
    </row>
    <row r="18" spans="2:13" ht="15" customHeight="1">
      <c r="C18" s="81">
        <f>SUM(C13:C17)</f>
        <v>1</v>
      </c>
      <c r="D18" s="74"/>
      <c r="G18" s="84"/>
      <c r="L18" s="461" t="s">
        <v>238</v>
      </c>
      <c r="M18" s="462">
        <f>+ROUND((M16+M17),0)</f>
        <v>1413425</v>
      </c>
    </row>
    <row r="19" spans="2:13" ht="15" customHeight="1">
      <c r="C19" s="83"/>
      <c r="D19" s="43"/>
      <c r="E19" s="43"/>
      <c r="F19" s="43"/>
      <c r="G19" s="43"/>
      <c r="H19" s="43"/>
      <c r="L19" s="459" t="s">
        <v>223</v>
      </c>
      <c r="M19" s="460">
        <f>+'[3]N13 Arrendamiento NIIF16'!C37</f>
        <v>975297</v>
      </c>
    </row>
    <row r="20" spans="2:13" ht="15" customHeight="1">
      <c r="C20" s="84"/>
      <c r="D20" s="43"/>
      <c r="E20" s="43"/>
      <c r="F20" s="43"/>
      <c r="G20" s="43"/>
      <c r="H20" s="43"/>
      <c r="L20" s="459" t="s">
        <v>224</v>
      </c>
      <c r="M20" s="460">
        <f>+'[3]N13 Arrendamiento NIIF16'!C38</f>
        <v>455073</v>
      </c>
    </row>
    <row r="21" spans="2:13" ht="15" customHeight="1">
      <c r="D21" s="43"/>
      <c r="L21" s="459" t="s">
        <v>225</v>
      </c>
      <c r="M21" s="460">
        <f>+'[3]N13 Arrendamiento NIIF16'!C39</f>
        <v>236458</v>
      </c>
    </row>
    <row r="22" spans="2:13" ht="15" customHeight="1">
      <c r="D22" s="43"/>
      <c r="L22" s="459" t="s">
        <v>226</v>
      </c>
      <c r="M22" s="460">
        <f>+'[3]N13 Arrendamiento NIIF16'!C40</f>
        <v>199015</v>
      </c>
    </row>
    <row r="23" spans="2:13" ht="15" customHeight="1">
      <c r="L23" s="459" t="s">
        <v>227</v>
      </c>
      <c r="M23" s="460">
        <f>+'[3]N13 Arrendamiento NIIF16'!C41</f>
        <v>509634</v>
      </c>
    </row>
    <row r="24" spans="2:13" ht="15" customHeight="1" thickBot="1">
      <c r="L24" s="463" t="s">
        <v>239</v>
      </c>
      <c r="M24" s="464">
        <f>+ROUND(SUM(M19:M23),0)</f>
        <v>2375477</v>
      </c>
    </row>
    <row r="34" spans="1:4" ht="15" customHeight="1">
      <c r="A34" s="206" t="s">
        <v>262</v>
      </c>
      <c r="B34" s="474">
        <f>+'[3]N3 Tasa de interes'!C11</f>
        <v>79179101.388999999</v>
      </c>
      <c r="C34" s="475">
        <f t="shared" ref="C34:C37" si="6">+ROUND(B34/$B$40,4)</f>
        <v>7.3800000000000004E-2</v>
      </c>
      <c r="D34" s="478">
        <f>+B34+B35-D5</f>
        <v>0</v>
      </c>
    </row>
    <row r="35" spans="1:4" ht="15" customHeight="1">
      <c r="A35" s="206" t="s">
        <v>263</v>
      </c>
      <c r="B35" s="474">
        <f>+'[3]N3 Tasa de interes'!C12</f>
        <v>113982700.11400002</v>
      </c>
      <c r="C35" s="475">
        <f t="shared" si="6"/>
        <v>0.1062</v>
      </c>
    </row>
    <row r="36" spans="1:4" ht="15" customHeight="1">
      <c r="A36" s="206" t="s">
        <v>187</v>
      </c>
      <c r="B36" s="474">
        <f>+'[3]N3 Tasa de interes'!C13</f>
        <v>683979516.16303992</v>
      </c>
      <c r="C36" s="475">
        <f t="shared" si="6"/>
        <v>0.6371</v>
      </c>
    </row>
    <row r="37" spans="1:4" ht="15" customHeight="1">
      <c r="A37" s="206" t="s">
        <v>260</v>
      </c>
      <c r="B37" s="474">
        <f>+'[3]N3 Tasa de interes'!C14</f>
        <v>192332046.04400003</v>
      </c>
      <c r="C37" s="475">
        <f t="shared" si="6"/>
        <v>0.17910000000000001</v>
      </c>
    </row>
    <row r="38" spans="1:4" ht="15" customHeight="1">
      <c r="A38" s="206" t="s">
        <v>279</v>
      </c>
      <c r="B38" s="474">
        <f>+'[3]N15.3 Clases Instrum. Finan.'!$E$25</f>
        <v>320893</v>
      </c>
      <c r="C38" s="475">
        <f>+ROUND(B38/$B$40,4)</f>
        <v>2.9999999999999997E-4</v>
      </c>
    </row>
    <row r="39" spans="1:4" ht="15" customHeight="1">
      <c r="A39" s="206" t="s">
        <v>258</v>
      </c>
      <c r="B39" s="474">
        <f>+'[3]N3 Tasa de interes'!C15</f>
        <v>3788902</v>
      </c>
      <c r="C39" s="475">
        <f>+ROUND(B39/$B$40,4)</f>
        <v>3.5000000000000001E-3</v>
      </c>
    </row>
    <row r="40" spans="1:4" ht="15" customHeight="1">
      <c r="A40" s="205" t="s">
        <v>261</v>
      </c>
      <c r="B40" s="476">
        <f>+SUM(B34:B39)</f>
        <v>1073583158.71004</v>
      </c>
      <c r="C40" s="477">
        <f>+SUM(C34:C39)</f>
        <v>0.99999999999999989</v>
      </c>
    </row>
    <row r="41" spans="1:4" ht="15" customHeight="1">
      <c r="A41" s="206"/>
    </row>
    <row r="42" spans="1:4" ht="15" customHeight="1">
      <c r="A42" s="472" t="s">
        <v>291</v>
      </c>
      <c r="B42" s="472"/>
      <c r="C42" s="472"/>
    </row>
    <row r="43" spans="1:4" ht="15" customHeight="1">
      <c r="A43" s="206" t="s">
        <v>177</v>
      </c>
      <c r="B43" s="206"/>
      <c r="C43" s="497">
        <f>+ROUND((C36+C37+C39+C35),3)</f>
        <v>0.92600000000000005</v>
      </c>
    </row>
    <row r="44" spans="1:4" ht="15" customHeight="1">
      <c r="A44" s="206" t="s">
        <v>176</v>
      </c>
      <c r="B44" s="206"/>
      <c r="C44" s="497">
        <f>+ROUND((C34+C38),3)</f>
        <v>7.3999999999999996E-2</v>
      </c>
    </row>
    <row r="45" spans="1:4" ht="15" customHeight="1">
      <c r="A45" s="473" t="s">
        <v>173</v>
      </c>
      <c r="B45" s="473"/>
      <c r="C45" s="498">
        <f>+C43+C44</f>
        <v>1</v>
      </c>
    </row>
    <row r="46" spans="1:4" ht="15" customHeight="1">
      <c r="A46" s="206" t="s">
        <v>256</v>
      </c>
      <c r="B46" s="206"/>
      <c r="C46" s="240">
        <f>+ROUND((C36/($C$36+$C$37+$C$39+$C$35)),3)</f>
        <v>0.68799999999999994</v>
      </c>
    </row>
    <row r="47" spans="1:4" ht="15" customHeight="1">
      <c r="A47" s="206" t="s">
        <v>257</v>
      </c>
      <c r="B47" s="206"/>
      <c r="C47" s="240">
        <f>+ROUND((C37/($C$36+$C$37+$C$39+$C$35)),3)</f>
        <v>0.193</v>
      </c>
    </row>
    <row r="48" spans="1:4" ht="15" customHeight="1">
      <c r="A48" s="206" t="s">
        <v>259</v>
      </c>
      <c r="B48" s="206"/>
      <c r="C48" s="240">
        <f>+ROUND((C35/($C$36+$C$37+$C$39+$C$35)),3)</f>
        <v>0.115</v>
      </c>
    </row>
    <row r="49" spans="1:3" ht="15" customHeight="1">
      <c r="A49" s="206" t="s">
        <v>258</v>
      </c>
      <c r="B49" s="206"/>
      <c r="C49" s="240">
        <f>+ROUND((C39/($C$36+$C$37+$C$39+C35)),3)</f>
        <v>4.0000000000000001E-3</v>
      </c>
    </row>
    <row r="50" spans="1:3" ht="15" customHeight="1">
      <c r="A50" s="473" t="s">
        <v>173</v>
      </c>
      <c r="B50" s="473"/>
      <c r="C50" s="498">
        <f>SUM(C46:C49)</f>
        <v>1</v>
      </c>
    </row>
  </sheetData>
  <mergeCells count="1">
    <mergeCell ref="L14:L1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27"/>
  <sheetViews>
    <sheetView showGridLines="0" workbookViewId="0">
      <selection activeCell="I7" sqref="I7"/>
    </sheetView>
  </sheetViews>
  <sheetFormatPr baseColWidth="10" defaultColWidth="11.44140625" defaultRowHeight="15" customHeight="1"/>
  <cols>
    <col min="1" max="1" width="6" style="21" customWidth="1"/>
    <col min="2" max="2" width="33.21875" style="21" customWidth="1"/>
    <col min="3" max="4" width="12" style="21" bestFit="1" customWidth="1"/>
    <col min="5" max="6" width="11.44140625" style="21"/>
    <col min="7" max="7" width="12" style="21" bestFit="1" customWidth="1"/>
    <col min="8" max="16384" width="11.44140625" style="21"/>
  </cols>
  <sheetData>
    <row r="3" spans="2:7" ht="15" customHeight="1" thickBot="1">
      <c r="B3" s="10" t="s">
        <v>379</v>
      </c>
      <c r="C3" s="489" t="str">
        <f>+Resultados!C3</f>
        <v xml:space="preserve">         Dec. 20</v>
      </c>
      <c r="D3" s="489" t="str">
        <f>+Resultados!D3</f>
        <v xml:space="preserve">               Dec. 19</v>
      </c>
      <c r="E3" s="20" t="s">
        <v>171</v>
      </c>
    </row>
    <row r="4" spans="2:7" ht="15" customHeight="1">
      <c r="B4" s="9" t="s">
        <v>374</v>
      </c>
      <c r="C4" s="22">
        <f>ROUND(cálculos!D28,0)</f>
        <v>185293280</v>
      </c>
      <c r="D4" s="22">
        <f>ROUND(cálculos!E28,0)</f>
        <v>220759469</v>
      </c>
      <c r="E4" s="85">
        <f>ROUND((C4-D4)/D4,3)</f>
        <v>-0.161</v>
      </c>
      <c r="G4" s="496">
        <f>+C4-D4</f>
        <v>-35466189</v>
      </c>
    </row>
    <row r="5" spans="2:7" ht="15" customHeight="1">
      <c r="B5" s="9" t="s">
        <v>375</v>
      </c>
      <c r="C5" s="22">
        <f>ROUND(cálculos!D29,0)</f>
        <v>-78371570</v>
      </c>
      <c r="D5" s="22">
        <f>ROUND(cálculos!E29,0)</f>
        <v>-109694362</v>
      </c>
      <c r="E5" s="86">
        <f>ROUND((C5-D5)/D5,3)</f>
        <v>-0.28599999999999998</v>
      </c>
      <c r="G5" s="496">
        <f t="shared" ref="G5:G8" si="0">+C5-D5</f>
        <v>31322792</v>
      </c>
    </row>
    <row r="6" spans="2:7" ht="15" customHeight="1">
      <c r="B6" s="9" t="s">
        <v>376</v>
      </c>
      <c r="C6" s="22">
        <f>ROUND(cálculos!D30,0)</f>
        <v>-4038882</v>
      </c>
      <c r="D6" s="22">
        <f>ROUND(cálculos!E30,0)</f>
        <v>-78982823</v>
      </c>
      <c r="E6" s="86">
        <f>ROUND((C6-D6)/D6,3)</f>
        <v>-0.94899999999999995</v>
      </c>
      <c r="G6" s="496">
        <f t="shared" si="0"/>
        <v>74943941</v>
      </c>
    </row>
    <row r="7" spans="2:7" ht="15" customHeight="1">
      <c r="B7" s="8" t="s">
        <v>377</v>
      </c>
      <c r="C7" s="24">
        <f>SUM(C4:C6)</f>
        <v>102882828</v>
      </c>
      <c r="D7" s="24">
        <f>SUM(D4:D6)</f>
        <v>32082284</v>
      </c>
      <c r="E7" s="507" t="s">
        <v>281</v>
      </c>
      <c r="G7" s="496">
        <f t="shared" si="0"/>
        <v>70800544</v>
      </c>
    </row>
    <row r="8" spans="2:7" ht="15" customHeight="1">
      <c r="B8" s="8" t="s">
        <v>378</v>
      </c>
      <c r="C8" s="24">
        <f>ROUND(cálculos!D33,0)</f>
        <v>174945586</v>
      </c>
      <c r="D8" s="24">
        <f>ROUND(cálculos!E33,0)</f>
        <v>72062758</v>
      </c>
      <c r="E8" s="507">
        <f>ROUND((C8-D8)/D8,3)</f>
        <v>1.4279999999999999</v>
      </c>
      <c r="G8" s="496">
        <f t="shared" si="0"/>
        <v>102882828</v>
      </c>
    </row>
    <row r="11" spans="2:7" ht="15" customHeight="1">
      <c r="C11" s="34"/>
    </row>
    <row r="12" spans="2:7" ht="15" customHeight="1">
      <c r="C12" s="34"/>
      <c r="D12" s="55"/>
    </row>
    <row r="13" spans="2:7" ht="15" customHeight="1">
      <c r="C13" s="34"/>
    </row>
    <row r="14" spans="2:7" ht="15" customHeight="1">
      <c r="C14" s="34"/>
    </row>
    <row r="15" spans="2:7" ht="15" customHeight="1">
      <c r="C15" s="34"/>
    </row>
    <row r="16" spans="2:7" ht="15" customHeight="1">
      <c r="C16" s="34"/>
    </row>
    <row r="17" spans="3:3" ht="15" customHeight="1">
      <c r="C17" s="34"/>
    </row>
    <row r="18" spans="3:3" ht="15" customHeight="1">
      <c r="C18" s="43"/>
    </row>
    <row r="27" spans="3:3" s="29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25"/>
  <sheetViews>
    <sheetView showGridLines="0" tabSelected="1" workbookViewId="0">
      <selection activeCell="I14" sqref="I14"/>
    </sheetView>
  </sheetViews>
  <sheetFormatPr baseColWidth="10" defaultColWidth="11.44140625" defaultRowHeight="15" customHeight="1"/>
  <cols>
    <col min="1" max="1" width="8" style="33" bestFit="1" customWidth="1"/>
    <col min="2" max="2" width="35.21875" style="33" bestFit="1" customWidth="1"/>
    <col min="3" max="3" width="8.5546875" style="33" customWidth="1"/>
    <col min="4" max="5" width="13.77734375" style="33" customWidth="1"/>
    <col min="6" max="16384" width="11.44140625" style="33"/>
  </cols>
  <sheetData>
    <row r="3" spans="1:7" ht="15" customHeight="1" thickBot="1">
      <c r="B3" s="87"/>
      <c r="C3" s="72"/>
      <c r="D3" s="72" t="str">
        <f>+'Estado de situación financiera'!C3</f>
        <v xml:space="preserve">         Dec. 20</v>
      </c>
      <c r="E3" s="72" t="str">
        <f>+'Estado de situación financiera'!D3</f>
        <v xml:space="preserve">         *Dec. 19</v>
      </c>
    </row>
    <row r="4" spans="1:7" ht="15" customHeight="1">
      <c r="B4" s="511" t="s">
        <v>380</v>
      </c>
      <c r="C4" s="18"/>
    </row>
    <row r="5" spans="1:7" ht="15" customHeight="1">
      <c r="A5" s="88"/>
      <c r="B5" s="512" t="s">
        <v>381</v>
      </c>
      <c r="C5" s="514" t="s">
        <v>393</v>
      </c>
      <c r="D5" s="89">
        <f>cálculos!K7</f>
        <v>1.24</v>
      </c>
      <c r="E5" s="89">
        <f>cálculos!M7</f>
        <v>0.82</v>
      </c>
      <c r="F5" s="90"/>
      <c r="G5" s="90"/>
    </row>
    <row r="6" spans="1:7" ht="15" customHeight="1">
      <c r="A6" s="88"/>
      <c r="B6" s="512" t="s">
        <v>382</v>
      </c>
      <c r="C6" s="514" t="s">
        <v>393</v>
      </c>
      <c r="D6" s="89">
        <f>cálculos!K10</f>
        <v>0.72</v>
      </c>
      <c r="E6" s="89">
        <f>cálculos!M10</f>
        <v>0.3</v>
      </c>
      <c r="F6" s="90"/>
      <c r="G6" s="90"/>
    </row>
    <row r="7" spans="1:7" ht="15" customHeight="1">
      <c r="B7" s="511" t="s">
        <v>383</v>
      </c>
      <c r="C7" s="515"/>
      <c r="D7" s="91"/>
      <c r="E7" s="91"/>
      <c r="F7" s="90"/>
      <c r="G7" s="90"/>
    </row>
    <row r="8" spans="1:7" ht="15" customHeight="1">
      <c r="B8" s="512" t="s">
        <v>384</v>
      </c>
      <c r="C8" s="514" t="s">
        <v>393</v>
      </c>
      <c r="D8" s="89">
        <f>cálculos!K14</f>
        <v>1.55</v>
      </c>
      <c r="E8" s="89">
        <f>cálculos!M14</f>
        <v>1.91</v>
      </c>
      <c r="F8" s="90"/>
      <c r="G8" s="90"/>
    </row>
    <row r="9" spans="1:7" ht="15" customHeight="1">
      <c r="A9" s="88"/>
      <c r="B9" s="512" t="s">
        <v>385</v>
      </c>
      <c r="C9" s="514" t="s">
        <v>393</v>
      </c>
      <c r="D9" s="89">
        <f>cálculos!K17</f>
        <v>0.18720000000000001</v>
      </c>
      <c r="E9" s="89">
        <f>cálculos!M17</f>
        <v>0.18429999999999999</v>
      </c>
      <c r="F9" s="90"/>
      <c r="G9" s="90"/>
    </row>
    <row r="10" spans="1:7" ht="15" customHeight="1">
      <c r="A10" s="88"/>
      <c r="B10" s="512" t="s">
        <v>386</v>
      </c>
      <c r="C10" s="514" t="s">
        <v>393</v>
      </c>
      <c r="D10" s="89">
        <f>cálculos!K20</f>
        <v>0.81279999999999997</v>
      </c>
      <c r="E10" s="89">
        <f>cálculos!M20</f>
        <v>0.81569999999999998</v>
      </c>
      <c r="F10" s="90"/>
      <c r="G10" s="90"/>
    </row>
    <row r="11" spans="1:7" ht="15" customHeight="1">
      <c r="A11" s="88"/>
      <c r="B11" s="512" t="s">
        <v>387</v>
      </c>
      <c r="C11" s="514" t="s">
        <v>393</v>
      </c>
      <c r="D11" s="89">
        <f>cálculos!K23</f>
        <v>5.1100000000000003</v>
      </c>
      <c r="E11" s="89">
        <f>cálculos!M23</f>
        <v>8.18</v>
      </c>
      <c r="F11" s="90"/>
      <c r="G11" s="90"/>
    </row>
    <row r="12" spans="1:7" ht="15" customHeight="1">
      <c r="B12" s="511" t="s">
        <v>388</v>
      </c>
      <c r="C12" s="18"/>
      <c r="D12" s="91"/>
      <c r="E12" s="91"/>
      <c r="F12" s="90"/>
      <c r="G12" s="90"/>
    </row>
    <row r="13" spans="1:7" ht="24">
      <c r="A13" s="88"/>
      <c r="B13" s="513" t="s">
        <v>389</v>
      </c>
      <c r="C13" s="73" t="s">
        <v>60</v>
      </c>
      <c r="D13" s="89">
        <f>cálculos!K39</f>
        <v>13.29</v>
      </c>
      <c r="E13" s="89">
        <f>cálculos!M39</f>
        <v>22.09</v>
      </c>
      <c r="F13" s="90"/>
      <c r="G13" s="90"/>
    </row>
    <row r="14" spans="1:7" ht="15" customHeight="1">
      <c r="A14" s="88"/>
      <c r="B14" s="512" t="s">
        <v>390</v>
      </c>
      <c r="C14" s="73" t="s">
        <v>60</v>
      </c>
      <c r="D14" s="89">
        <f>cálculos!K42</f>
        <v>4.7600000000000007</v>
      </c>
      <c r="E14" s="89">
        <f>cálculos!M42</f>
        <v>7.2499999999999991</v>
      </c>
      <c r="F14" s="90"/>
      <c r="G14" s="90"/>
    </row>
    <row r="15" spans="1:7" ht="15" customHeight="1">
      <c r="A15" s="88"/>
      <c r="B15" s="512" t="s">
        <v>391</v>
      </c>
      <c r="C15" s="73" t="s">
        <v>61</v>
      </c>
      <c r="D15" s="89">
        <f>cálculos!K45</f>
        <v>16.13</v>
      </c>
      <c r="E15" s="89">
        <f>cálculos!M45</f>
        <v>23.16</v>
      </c>
      <c r="F15" s="90"/>
      <c r="G15" s="90"/>
    </row>
    <row r="16" spans="1:7" ht="15" customHeight="1">
      <c r="B16" s="512" t="s">
        <v>392</v>
      </c>
      <c r="C16" s="73" t="s">
        <v>60</v>
      </c>
      <c r="D16" s="89">
        <f>cálculos!K49</f>
        <v>7.8</v>
      </c>
      <c r="E16" s="89">
        <f>cálculos!M49</f>
        <v>6.81</v>
      </c>
      <c r="F16" s="90"/>
      <c r="G16" s="90"/>
    </row>
    <row r="17" spans="7:7" ht="15" customHeight="1">
      <c r="G17" s="90"/>
    </row>
    <row r="25" spans="7:7" s="92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0066"/>
    <pageSetUpPr fitToPage="1"/>
  </sheetPr>
  <dimension ref="A1:V204"/>
  <sheetViews>
    <sheetView showGridLines="0" topLeftCell="E7" workbookViewId="0">
      <selection activeCell="E28" sqref="E28"/>
    </sheetView>
  </sheetViews>
  <sheetFormatPr baseColWidth="10" defaultColWidth="11.44140625" defaultRowHeight="15" customHeight="1"/>
  <cols>
    <col min="1" max="1" width="3.77734375" style="206" customWidth="1"/>
    <col min="2" max="2" width="51.21875" style="206" customWidth="1"/>
    <col min="3" max="3" width="16.21875" style="206" customWidth="1"/>
    <col min="4" max="4" width="18.77734375" style="206" bestFit="1" customWidth="1"/>
    <col min="5" max="5" width="18.5546875" style="206" bestFit="1" customWidth="1"/>
    <col min="6" max="6" width="16.77734375" style="206" customWidth="1"/>
    <col min="7" max="7" width="4.5546875" style="206" customWidth="1"/>
    <col min="8" max="8" width="31.5546875" style="206" customWidth="1"/>
    <col min="9" max="9" width="7.21875" style="206" customWidth="1"/>
    <col min="10" max="10" width="21" style="206" bestFit="1" customWidth="1"/>
    <col min="11" max="11" width="11.21875" style="207" customWidth="1"/>
    <col min="12" max="12" width="17.77734375" style="207" customWidth="1"/>
    <col min="13" max="13" width="11.21875" style="207" customWidth="1"/>
    <col min="14" max="14" width="1.77734375" style="207" customWidth="1"/>
    <col min="15" max="15" width="10.77734375" style="206" customWidth="1"/>
    <col min="16" max="16" width="11.77734375" style="208" customWidth="1"/>
    <col min="17" max="17" width="10.77734375" style="206" bestFit="1" customWidth="1"/>
    <col min="18" max="18" width="11.77734375" style="206" bestFit="1" customWidth="1"/>
    <col min="19" max="16384" width="11.44140625" style="206"/>
  </cols>
  <sheetData>
    <row r="1" spans="2:22" ht="15" customHeight="1">
      <c r="B1" s="205" t="s">
        <v>169</v>
      </c>
    </row>
    <row r="2" spans="2:22" ht="15" customHeight="1">
      <c r="B2" s="205" t="s">
        <v>168</v>
      </c>
      <c r="Q2" s="209"/>
      <c r="R2" s="209"/>
      <c r="S2" s="209"/>
      <c r="T2" s="210"/>
      <c r="U2" s="209"/>
      <c r="V2" s="209"/>
    </row>
    <row r="3" spans="2:22" ht="15" customHeight="1" thickBot="1">
      <c r="H3" s="211" t="s">
        <v>0</v>
      </c>
      <c r="L3" s="212"/>
      <c r="P3" s="213"/>
      <c r="Q3" s="214"/>
      <c r="R3" s="215"/>
      <c r="S3" s="209"/>
      <c r="T3" s="209"/>
      <c r="U3" s="209"/>
      <c r="V3" s="209"/>
    </row>
    <row r="4" spans="2:22" ht="15" customHeight="1" thickBot="1">
      <c r="B4" s="216" t="s">
        <v>2</v>
      </c>
      <c r="C4" s="217"/>
      <c r="D4" s="218" t="s">
        <v>290</v>
      </c>
      <c r="E4" s="218" t="s">
        <v>245</v>
      </c>
      <c r="F4" s="218" t="s">
        <v>243</v>
      </c>
      <c r="H4" s="205" t="s">
        <v>1</v>
      </c>
      <c r="J4" s="219" t="str">
        <f>+D4</f>
        <v>Dic-20</v>
      </c>
      <c r="L4" s="219" t="str">
        <f>+E4</f>
        <v>Dic-19</v>
      </c>
      <c r="N4" s="214"/>
      <c r="O4" s="220"/>
      <c r="P4" s="213"/>
      <c r="Q4" s="214"/>
      <c r="R4" s="221"/>
      <c r="S4" s="221"/>
      <c r="T4" s="222"/>
      <c r="U4" s="221"/>
      <c r="V4" s="221"/>
    </row>
    <row r="5" spans="2:22" ht="15" customHeight="1" thickBot="1">
      <c r="B5" s="223"/>
      <c r="C5" s="224"/>
      <c r="D5" s="224"/>
      <c r="E5" s="225"/>
      <c r="F5" s="226"/>
      <c r="H5" s="227" t="s">
        <v>3</v>
      </c>
      <c r="J5" s="228"/>
      <c r="K5" s="212"/>
      <c r="M5" s="212"/>
      <c r="N5" s="214"/>
      <c r="P5" s="229"/>
    </row>
    <row r="6" spans="2:22" ht="15" customHeight="1">
      <c r="B6" s="230" t="s">
        <v>43</v>
      </c>
      <c r="C6" s="231" t="s">
        <v>4</v>
      </c>
      <c r="D6" s="232">
        <f>+Balance!D15</f>
        <v>302254499</v>
      </c>
      <c r="E6" s="233">
        <f>+Balance!E15</f>
        <v>197676646</v>
      </c>
      <c r="F6" s="234">
        <f>+[5]cálculos!$E$6</f>
        <v>168513972</v>
      </c>
      <c r="H6" s="205" t="s">
        <v>5</v>
      </c>
      <c r="J6" s="228"/>
      <c r="K6" s="212"/>
      <c r="M6" s="212"/>
      <c r="N6" s="214"/>
      <c r="O6" s="235"/>
      <c r="P6" s="213"/>
    </row>
    <row r="7" spans="2:22" ht="15" customHeight="1">
      <c r="B7" s="230" t="s">
        <v>44</v>
      </c>
      <c r="C7" s="231" t="s">
        <v>4</v>
      </c>
      <c r="D7" s="232">
        <f>+Balance!D26</f>
        <v>1842181989</v>
      </c>
      <c r="E7" s="233">
        <f>+Balance!E26</f>
        <v>1803767656</v>
      </c>
      <c r="F7" s="234">
        <f>+[5]cálculos!$E$7</f>
        <v>1737538127</v>
      </c>
      <c r="H7" s="236" t="s">
        <v>41</v>
      </c>
      <c r="I7" s="206" t="s">
        <v>6</v>
      </c>
      <c r="J7" s="237">
        <f>+D6</f>
        <v>302254499</v>
      </c>
      <c r="K7" s="238">
        <f>ROUND(J7/J8,2)</f>
        <v>1.24</v>
      </c>
      <c r="L7" s="237">
        <f>+E6</f>
        <v>197676646</v>
      </c>
      <c r="M7" s="238">
        <f>ROUND(L7/L8,2)</f>
        <v>0.82</v>
      </c>
      <c r="N7" s="239"/>
      <c r="O7" s="240">
        <f>ROUND((K7/M7)-1,3)</f>
        <v>0.51200000000000001</v>
      </c>
      <c r="P7" s="241">
        <f>ROUND((J7/L7)-1,3)</f>
        <v>0.52900000000000003</v>
      </c>
      <c r="Q7" s="228">
        <f>+J7-L7</f>
        <v>104577853</v>
      </c>
    </row>
    <row r="8" spans="2:22" ht="15" customHeight="1">
      <c r="B8" s="242" t="s">
        <v>7</v>
      </c>
      <c r="C8" s="243"/>
      <c r="D8" s="244">
        <f>SUM(D6:D7)</f>
        <v>2144436488</v>
      </c>
      <c r="E8" s="245">
        <f>SUM(E6:E7)</f>
        <v>2001444302</v>
      </c>
      <c r="F8" s="246">
        <f>SUM(F6:F7)</f>
        <v>1906052099</v>
      </c>
      <c r="H8" s="214" t="s">
        <v>42</v>
      </c>
      <c r="J8" s="228">
        <f>+D10</f>
        <v>244032589</v>
      </c>
      <c r="K8" s="212"/>
      <c r="L8" s="228">
        <f>+E10</f>
        <v>242137717</v>
      </c>
      <c r="M8" s="212"/>
      <c r="N8" s="214"/>
      <c r="O8" s="247"/>
      <c r="P8" s="241">
        <f>ROUND((J8/L8)-1,3)</f>
        <v>8.0000000000000002E-3</v>
      </c>
      <c r="Q8" s="228">
        <f>+J8-L8</f>
        <v>1894872</v>
      </c>
    </row>
    <row r="9" spans="2:22" ht="15" customHeight="1">
      <c r="B9" s="230"/>
      <c r="C9" s="224"/>
      <c r="D9" s="232"/>
      <c r="E9" s="233"/>
      <c r="F9" s="234"/>
      <c r="H9" s="248" t="s">
        <v>8</v>
      </c>
      <c r="J9" s="228"/>
      <c r="K9" s="212"/>
      <c r="L9" s="228"/>
      <c r="M9" s="212"/>
      <c r="N9" s="214"/>
      <c r="O9" s="249"/>
      <c r="P9" s="213"/>
    </row>
    <row r="10" spans="2:22" ht="15" customHeight="1">
      <c r="B10" s="230" t="s">
        <v>46</v>
      </c>
      <c r="C10" s="231" t="s">
        <v>4</v>
      </c>
      <c r="D10" s="232">
        <f>+Balance!D44</f>
        <v>244032589</v>
      </c>
      <c r="E10" s="233">
        <f>+Balance!E44</f>
        <v>242137717</v>
      </c>
      <c r="F10" s="234">
        <f>+[5]cálculos!$E$10</f>
        <v>242318524</v>
      </c>
      <c r="H10" s="250" t="s">
        <v>51</v>
      </c>
      <c r="I10" s="206" t="s">
        <v>6</v>
      </c>
      <c r="J10" s="237">
        <f>+D33</f>
        <v>174945586</v>
      </c>
      <c r="K10" s="238">
        <f>ROUND(J10/J11,2)</f>
        <v>0.72</v>
      </c>
      <c r="L10" s="237">
        <f>+F33</f>
        <v>72062758</v>
      </c>
      <c r="M10" s="238">
        <f>ROUND(L10/L11,2)</f>
        <v>0.3</v>
      </c>
      <c r="N10" s="239"/>
      <c r="O10" s="240">
        <f>ROUND((K10/M10)-1,4)</f>
        <v>1.4</v>
      </c>
      <c r="P10" s="241">
        <f>ROUND((J10/L10)-1,3)</f>
        <v>1.4279999999999999</v>
      </c>
      <c r="Q10" s="228">
        <f>+J10-L10</f>
        <v>102882828</v>
      </c>
      <c r="R10" s="251"/>
    </row>
    <row r="11" spans="2:22" ht="15" customHeight="1" thickBot="1">
      <c r="B11" s="230" t="s">
        <v>45</v>
      </c>
      <c r="C11" s="231" t="s">
        <v>4</v>
      </c>
      <c r="D11" s="232">
        <f>+Balance!D54</f>
        <v>1059655092</v>
      </c>
      <c r="E11" s="233">
        <f>+Balance!E54</f>
        <v>1071833122</v>
      </c>
      <c r="F11" s="234">
        <f>+[5]cálculos!$E$11</f>
        <v>976742178</v>
      </c>
      <c r="H11" s="214" t="s">
        <v>42</v>
      </c>
      <c r="J11" s="228">
        <f>+D10</f>
        <v>244032589</v>
      </c>
      <c r="K11" s="212"/>
      <c r="L11" s="228">
        <f>+E10</f>
        <v>242137717</v>
      </c>
      <c r="M11" s="212"/>
      <c r="N11" s="214"/>
      <c r="O11" s="247"/>
      <c r="P11" s="241">
        <f>ROUND((J11/L11)-1,3)</f>
        <v>8.0000000000000002E-3</v>
      </c>
      <c r="Q11" s="228">
        <f>+J11-L11</f>
        <v>1894872</v>
      </c>
    </row>
    <row r="12" spans="2:22" ht="15" customHeight="1" thickBot="1">
      <c r="B12" s="230" t="s">
        <v>47</v>
      </c>
      <c r="C12" s="231" t="s">
        <v>4</v>
      </c>
      <c r="D12" s="232">
        <f>+Balance!D64</f>
        <v>25565</v>
      </c>
      <c r="E12" s="233">
        <f>+Balance!E64</f>
        <v>43020129</v>
      </c>
      <c r="F12" s="234">
        <f>+[5]cálculos!$E$12</f>
        <v>48370742</v>
      </c>
      <c r="H12" s="227" t="s">
        <v>9</v>
      </c>
      <c r="J12" s="228"/>
      <c r="K12" s="212"/>
      <c r="L12" s="228"/>
      <c r="M12" s="212"/>
      <c r="N12" s="214"/>
      <c r="O12" s="247"/>
      <c r="P12" s="213"/>
    </row>
    <row r="13" spans="2:22" ht="15" customHeight="1">
      <c r="B13" s="230" t="s">
        <v>84</v>
      </c>
      <c r="C13" s="231" t="s">
        <v>4</v>
      </c>
      <c r="D13" s="232">
        <f>+Balance!D63</f>
        <v>840723242</v>
      </c>
      <c r="E13" s="233">
        <f>+Balance!E63</f>
        <v>644453334</v>
      </c>
      <c r="F13" s="234">
        <f>+[5]cálculos!$E$13</f>
        <v>638620655</v>
      </c>
      <c r="H13" s="205" t="s">
        <v>10</v>
      </c>
      <c r="J13" s="228"/>
      <c r="K13" s="212"/>
      <c r="L13" s="228"/>
      <c r="M13" s="212"/>
      <c r="N13" s="214"/>
      <c r="O13" s="247"/>
      <c r="P13" s="213"/>
    </row>
    <row r="14" spans="2:22" ht="15" customHeight="1" thickBot="1">
      <c r="B14" s="252" t="s">
        <v>7</v>
      </c>
      <c r="C14" s="253"/>
      <c r="D14" s="254">
        <f>SUM(D10:D13)</f>
        <v>2144436488</v>
      </c>
      <c r="E14" s="255">
        <f>SUM(E10:E13)</f>
        <v>2001444302</v>
      </c>
      <c r="F14" s="256">
        <f>SUM(F10:F13)</f>
        <v>1906052099</v>
      </c>
      <c r="H14" s="236" t="s">
        <v>11</v>
      </c>
      <c r="I14" s="206" t="s">
        <v>6</v>
      </c>
      <c r="J14" s="237">
        <f>+D10+D11</f>
        <v>1303687681</v>
      </c>
      <c r="K14" s="257">
        <f>ROUND(J14/J15,2)</f>
        <v>1.55</v>
      </c>
      <c r="L14" s="237">
        <f>+E10+E11</f>
        <v>1313970839</v>
      </c>
      <c r="M14" s="257">
        <f>ROUND(L14/L15,2)</f>
        <v>1.91</v>
      </c>
      <c r="N14" s="258"/>
      <c r="O14" s="240">
        <f>ROUND((K14/M14)-1,4)</f>
        <v>-0.1885</v>
      </c>
      <c r="P14" s="241">
        <f>ROUND((J14/L14)-1,3)</f>
        <v>-8.0000000000000002E-3</v>
      </c>
      <c r="Q14" s="228">
        <f>+J14-L14</f>
        <v>-10283158</v>
      </c>
    </row>
    <row r="15" spans="2:22" ht="15" customHeight="1" thickBot="1">
      <c r="B15" s="259"/>
      <c r="C15" s="209"/>
      <c r="D15" s="260">
        <f>+D8-D14</f>
        <v>0</v>
      </c>
      <c r="E15" s="260">
        <f t="shared" ref="E15:F15" si="0">+E8-E14</f>
        <v>0</v>
      </c>
      <c r="F15" s="260">
        <f t="shared" si="0"/>
        <v>0</v>
      </c>
      <c r="H15" s="206" t="s">
        <v>82</v>
      </c>
      <c r="J15" s="228">
        <f>+D13+D12</f>
        <v>840748807</v>
      </c>
      <c r="K15" s="212"/>
      <c r="L15" s="228">
        <f>+E13+E12</f>
        <v>687473463</v>
      </c>
      <c r="M15" s="212"/>
      <c r="N15" s="214"/>
      <c r="O15" s="247"/>
      <c r="P15" s="241">
        <f>ROUND((J15/L15)-1,3)</f>
        <v>0.223</v>
      </c>
      <c r="Q15" s="228">
        <f>+J15-L15</f>
        <v>153275344</v>
      </c>
    </row>
    <row r="16" spans="2:22" ht="15" customHeight="1">
      <c r="B16" s="216" t="s">
        <v>12</v>
      </c>
      <c r="C16" s="217"/>
      <c r="D16" s="261" t="str">
        <f>+D4</f>
        <v>Dic-20</v>
      </c>
      <c r="E16" s="261" t="s">
        <v>245</v>
      </c>
      <c r="F16" s="262" t="s">
        <v>245</v>
      </c>
      <c r="H16" s="205" t="s">
        <v>13</v>
      </c>
      <c r="J16" s="228"/>
      <c r="K16" s="212"/>
      <c r="L16" s="228"/>
      <c r="M16" s="212"/>
      <c r="N16" s="214"/>
      <c r="O16" s="235"/>
      <c r="P16" s="213"/>
    </row>
    <row r="17" spans="1:20" ht="15" customHeight="1">
      <c r="B17" s="263"/>
      <c r="C17" s="264"/>
      <c r="D17" s="265"/>
      <c r="E17" s="265"/>
      <c r="F17" s="266"/>
      <c r="H17" s="267" t="s">
        <v>42</v>
      </c>
      <c r="I17" s="206" t="s">
        <v>6</v>
      </c>
      <c r="J17" s="237">
        <f>+D10</f>
        <v>244032589</v>
      </c>
      <c r="K17" s="257">
        <f>ROUND(J17/J18,4)</f>
        <v>0.18720000000000001</v>
      </c>
      <c r="L17" s="237">
        <f>+E10</f>
        <v>242137717</v>
      </c>
      <c r="M17" s="257">
        <f>ROUND(L17/L18,4)</f>
        <v>0.18429999999999999</v>
      </c>
      <c r="N17" s="258"/>
      <c r="O17" s="240">
        <f>ROUND((K17/M17)-1,4)</f>
        <v>1.5699999999999999E-2</v>
      </c>
      <c r="P17" s="241">
        <f>ROUND((J17/L17)-1,3)</f>
        <v>8.0000000000000002E-3</v>
      </c>
      <c r="Q17" s="228">
        <f>+J17-L17</f>
        <v>1894872</v>
      </c>
      <c r="R17" s="240"/>
    </row>
    <row r="18" spans="1:20" ht="15" customHeight="1">
      <c r="B18" s="268" t="s">
        <v>55</v>
      </c>
      <c r="C18" s="269" t="s">
        <v>4</v>
      </c>
      <c r="D18" s="265">
        <f>+C50</f>
        <v>478773563</v>
      </c>
      <c r="E18" s="265">
        <f>+D50</f>
        <v>484329084</v>
      </c>
      <c r="F18" s="266">
        <f>+E50</f>
        <v>484329084</v>
      </c>
      <c r="H18" s="206" t="s">
        <v>14</v>
      </c>
      <c r="J18" s="228">
        <f>+D10+D11</f>
        <v>1303687681</v>
      </c>
      <c r="K18" s="212"/>
      <c r="L18" s="228">
        <f>+E10+E11</f>
        <v>1313970839</v>
      </c>
      <c r="M18" s="212"/>
      <c r="N18" s="214"/>
      <c r="O18" s="247"/>
      <c r="P18" s="241">
        <f>ROUND((J18/L18)-1,3)</f>
        <v>-8.0000000000000002E-3</v>
      </c>
      <c r="Q18" s="228">
        <f>+J18-L18</f>
        <v>-10283158</v>
      </c>
    </row>
    <row r="19" spans="1:20" ht="15" customHeight="1">
      <c r="B19" s="268" t="s">
        <v>56</v>
      </c>
      <c r="C19" s="269" t="s">
        <v>4</v>
      </c>
      <c r="D19" s="265">
        <f>-C51-C53-C54-C55-C52</f>
        <v>311981391</v>
      </c>
      <c r="E19" s="265">
        <f>-D51-D53-D54-D55-D52</f>
        <v>262973770</v>
      </c>
      <c r="F19" s="266">
        <f>-E51-E53-E54-E55-E52</f>
        <v>262973770</v>
      </c>
      <c r="H19" s="205" t="s">
        <v>15</v>
      </c>
      <c r="J19" s="228"/>
      <c r="K19" s="212"/>
      <c r="L19" s="228"/>
      <c r="M19" s="212"/>
      <c r="N19" s="214"/>
      <c r="O19" s="235"/>
      <c r="P19" s="270"/>
      <c r="Q19" s="271"/>
      <c r="R19" s="247"/>
      <c r="T19" s="228"/>
    </row>
    <row r="20" spans="1:20" ht="15" customHeight="1">
      <c r="B20" s="263" t="s">
        <v>63</v>
      </c>
      <c r="C20" s="264" t="s">
        <v>4</v>
      </c>
      <c r="D20" s="272">
        <f>+C64</f>
        <v>115681631</v>
      </c>
      <c r="E20" s="272">
        <f>+D64</f>
        <v>192072838</v>
      </c>
      <c r="F20" s="273">
        <f>+E64</f>
        <v>192072838</v>
      </c>
      <c r="H20" s="267" t="s">
        <v>52</v>
      </c>
      <c r="I20" s="206" t="s">
        <v>6</v>
      </c>
      <c r="J20" s="237">
        <f>+D11</f>
        <v>1059655092</v>
      </c>
      <c r="K20" s="257">
        <f>ROUND(J20/J21,4)</f>
        <v>0.81279999999999997</v>
      </c>
      <c r="L20" s="237">
        <f>+E11</f>
        <v>1071833122</v>
      </c>
      <c r="M20" s="257">
        <f>ROUND(L20/L21,4)</f>
        <v>0.81569999999999998</v>
      </c>
      <c r="N20" s="258"/>
      <c r="O20" s="240">
        <f>ROUND((K20/M20)-1,4)</f>
        <v>-3.5999999999999999E-3</v>
      </c>
      <c r="P20" s="241">
        <f>ROUND((J20/L20)-1,3)</f>
        <v>-1.0999999999999999E-2</v>
      </c>
      <c r="Q20" s="228">
        <f>+J20-L20</f>
        <v>-12178030</v>
      </c>
      <c r="R20" s="247"/>
      <c r="T20" s="228"/>
    </row>
    <row r="21" spans="1:20" ht="15" customHeight="1">
      <c r="B21" s="268" t="s">
        <v>18</v>
      </c>
      <c r="C21" s="269" t="s">
        <v>4</v>
      </c>
      <c r="D21" s="265">
        <f>+C58</f>
        <v>-28172393</v>
      </c>
      <c r="E21" s="265">
        <f>+D58</f>
        <v>-26752209</v>
      </c>
      <c r="F21" s="266">
        <f>+E58</f>
        <v>-26752209</v>
      </c>
      <c r="H21" s="206" t="s">
        <v>14</v>
      </c>
      <c r="J21" s="228">
        <f>+J18</f>
        <v>1303687681</v>
      </c>
      <c r="K21" s="212" t="s">
        <v>0</v>
      </c>
      <c r="L21" s="228">
        <f>+L18</f>
        <v>1313970839</v>
      </c>
      <c r="M21" s="212" t="s">
        <v>0</v>
      </c>
      <c r="N21" s="214"/>
      <c r="O21" s="247"/>
      <c r="P21" s="241">
        <f>ROUND((J21/L21)-1,3)</f>
        <v>-8.0000000000000002E-3</v>
      </c>
      <c r="Q21" s="228">
        <f>+J21-L21</f>
        <v>-10283158</v>
      </c>
      <c r="T21" s="228"/>
    </row>
    <row r="22" spans="1:20" ht="15" customHeight="1">
      <c r="B22" s="268" t="s">
        <v>20</v>
      </c>
      <c r="C22" s="269" t="s">
        <v>4</v>
      </c>
      <c r="D22" s="265">
        <f>+J32</f>
        <v>219312622</v>
      </c>
      <c r="E22" s="265">
        <f>+L32</f>
        <v>283779424</v>
      </c>
      <c r="F22" s="266">
        <f>+M32</f>
        <v>-0.22720000000000001</v>
      </c>
      <c r="H22" s="205" t="s">
        <v>16</v>
      </c>
      <c r="J22" s="228"/>
      <c r="K22" s="212"/>
      <c r="L22" s="228"/>
      <c r="M22" s="212"/>
      <c r="N22" s="214"/>
      <c r="O22" s="247"/>
      <c r="P22" s="274"/>
    </row>
    <row r="23" spans="1:20" ht="15" customHeight="1">
      <c r="B23" s="268" t="s">
        <v>21</v>
      </c>
      <c r="C23" s="269" t="s">
        <v>4</v>
      </c>
      <c r="D23" s="265">
        <f>+C69</f>
        <v>98691668</v>
      </c>
      <c r="E23" s="265">
        <f>+D69</f>
        <v>141737188</v>
      </c>
      <c r="F23" s="266">
        <f>+E69</f>
        <v>141737188</v>
      </c>
      <c r="H23" s="236" t="s">
        <v>17</v>
      </c>
      <c r="I23" s="209"/>
      <c r="J23" s="275">
        <f>Anualizados!C13</f>
        <v>143854024</v>
      </c>
      <c r="K23" s="238">
        <f>ROUND(J23/J24,2)</f>
        <v>5.1100000000000003</v>
      </c>
      <c r="L23" s="275">
        <f>+F20-F21</f>
        <v>218825047</v>
      </c>
      <c r="M23" s="238">
        <f>ROUND(L23/L24,2)</f>
        <v>8.18</v>
      </c>
      <c r="N23" s="276"/>
      <c r="O23" s="240">
        <f>ROUND((K23/M23)-1,4)</f>
        <v>-0.37530000000000002</v>
      </c>
      <c r="P23" s="241">
        <f>ROUND((J23/L23)-1,3)</f>
        <v>-0.34300000000000003</v>
      </c>
      <c r="Q23" s="228">
        <f>+J23-L23</f>
        <v>-74971023</v>
      </c>
    </row>
    <row r="24" spans="1:20" ht="15" customHeight="1" thickBot="1">
      <c r="B24" s="268" t="s">
        <v>22</v>
      </c>
      <c r="C24" s="269" t="s">
        <v>4</v>
      </c>
      <c r="D24" s="265">
        <f>+C65</f>
        <v>-26987579</v>
      </c>
      <c r="E24" s="265">
        <f>+D65</f>
        <v>-49352038</v>
      </c>
      <c r="F24" s="266">
        <f>+E65</f>
        <v>-49352038</v>
      </c>
      <c r="H24" s="214" t="s">
        <v>19</v>
      </c>
      <c r="J24" s="212">
        <f>Anualizados!C20</f>
        <v>28172393</v>
      </c>
      <c r="K24" s="277"/>
      <c r="L24" s="212">
        <f>-E58</f>
        <v>26752209</v>
      </c>
      <c r="M24" s="277"/>
      <c r="N24" s="214"/>
      <c r="O24" s="228"/>
      <c r="P24" s="278">
        <f>ROUND((J24/L24)-1,3)</f>
        <v>5.2999999999999999E-2</v>
      </c>
      <c r="Q24" s="228">
        <f>+J24-L24</f>
        <v>1420184</v>
      </c>
      <c r="T24" s="279"/>
    </row>
    <row r="25" spans="1:20" ht="15" customHeight="1" thickBot="1">
      <c r="B25" s="280" t="s">
        <v>57</v>
      </c>
      <c r="C25" s="281" t="s">
        <v>4</v>
      </c>
      <c r="D25" s="282">
        <f>+C53</f>
        <v>-67134809</v>
      </c>
      <c r="E25" s="282">
        <f>+D53</f>
        <v>-63951173</v>
      </c>
      <c r="F25" s="283">
        <f>+E53</f>
        <v>-63951173</v>
      </c>
      <c r="H25" s="284" t="s">
        <v>23</v>
      </c>
      <c r="I25" s="285"/>
      <c r="J25" s="286"/>
      <c r="K25" s="287"/>
      <c r="L25" s="286"/>
      <c r="M25" s="287"/>
      <c r="N25" s="288"/>
      <c r="O25" s="289"/>
      <c r="P25" s="288"/>
      <c r="Q25" s="207"/>
      <c r="T25" s="207"/>
    </row>
    <row r="26" spans="1:20" ht="15" customHeight="1" thickBot="1">
      <c r="B26" s="209"/>
      <c r="C26" s="221"/>
      <c r="D26" s="290"/>
      <c r="E26" s="291"/>
      <c r="F26" s="290"/>
      <c r="H26" s="285" t="s">
        <v>53</v>
      </c>
      <c r="I26" s="285" t="s">
        <v>6</v>
      </c>
      <c r="J26" s="292">
        <f>+D23</f>
        <v>98691668</v>
      </c>
      <c r="K26" s="287"/>
      <c r="L26" s="292">
        <f>+F23</f>
        <v>141737188</v>
      </c>
      <c r="M26" s="287"/>
      <c r="N26" s="288"/>
      <c r="O26" s="289"/>
      <c r="P26" s="288">
        <v>1000</v>
      </c>
      <c r="R26" s="247"/>
    </row>
    <row r="27" spans="1:20" ht="15" customHeight="1">
      <c r="A27" s="293"/>
      <c r="B27" s="216" t="s">
        <v>62</v>
      </c>
      <c r="C27" s="217"/>
      <c r="D27" s="294" t="str">
        <f>+D4</f>
        <v>Dic-20</v>
      </c>
      <c r="E27" s="294" t="str">
        <f>+E16</f>
        <v>Dic-19</v>
      </c>
      <c r="F27" s="295" t="str">
        <f>+E4</f>
        <v>Dic-19</v>
      </c>
      <c r="H27" s="285" t="s">
        <v>25</v>
      </c>
      <c r="I27" s="285" t="s">
        <v>6</v>
      </c>
      <c r="J27" s="292">
        <f>-D24</f>
        <v>26987579</v>
      </c>
      <c r="K27" s="287"/>
      <c r="L27" s="292">
        <f>-F24</f>
        <v>49352038</v>
      </c>
      <c r="M27" s="287"/>
      <c r="N27" s="288"/>
      <c r="O27" s="289"/>
      <c r="P27" s="288"/>
      <c r="Q27" s="279"/>
      <c r="R27" s="247"/>
      <c r="T27" s="279"/>
    </row>
    <row r="28" spans="1:20" ht="15" customHeight="1">
      <c r="B28" s="230" t="s">
        <v>48</v>
      </c>
      <c r="C28" s="231" t="s">
        <v>4</v>
      </c>
      <c r="D28" s="296">
        <f>+Flujo!D24</f>
        <v>185293280</v>
      </c>
      <c r="E28" s="296">
        <f>+Flujo!E24</f>
        <v>220759469</v>
      </c>
      <c r="F28" s="297">
        <v>215222174</v>
      </c>
      <c r="H28" s="285" t="s">
        <v>26</v>
      </c>
      <c r="I28" s="285" t="s">
        <v>6</v>
      </c>
      <c r="J28" s="292">
        <f>-D21</f>
        <v>28172393</v>
      </c>
      <c r="K28" s="287"/>
      <c r="L28" s="292">
        <f>-F21</f>
        <v>26752209</v>
      </c>
      <c r="M28" s="287"/>
      <c r="N28" s="298"/>
      <c r="O28" s="289"/>
      <c r="P28" s="298"/>
      <c r="Q28" s="212"/>
      <c r="R28" s="247"/>
      <c r="T28" s="212"/>
    </row>
    <row r="29" spans="1:20" ht="15" customHeight="1">
      <c r="A29" s="299"/>
      <c r="B29" s="230" t="s">
        <v>49</v>
      </c>
      <c r="C29" s="231" t="s">
        <v>4</v>
      </c>
      <c r="D29" s="296">
        <f>+Flujo!D50</f>
        <v>-78371570</v>
      </c>
      <c r="E29" s="296">
        <f>+Flujo!E50</f>
        <v>-109694362</v>
      </c>
      <c r="F29" s="297">
        <v>-109694362</v>
      </c>
      <c r="H29" s="285" t="s">
        <v>58</v>
      </c>
      <c r="I29" s="285" t="s">
        <v>6</v>
      </c>
      <c r="J29" s="292">
        <f>-D25</f>
        <v>67134809</v>
      </c>
      <c r="K29" s="287"/>
      <c r="L29" s="292">
        <f>-F25</f>
        <v>63951173</v>
      </c>
      <c r="M29" s="287"/>
      <c r="N29" s="288"/>
      <c r="O29" s="289"/>
      <c r="P29" s="288"/>
      <c r="R29" s="247"/>
    </row>
    <row r="30" spans="1:20" ht="15" customHeight="1">
      <c r="A30" s="300"/>
      <c r="B30" s="230" t="s">
        <v>50</v>
      </c>
      <c r="C30" s="231" t="s">
        <v>4</v>
      </c>
      <c r="D30" s="296">
        <f>+Flujo!D68</f>
        <v>-4038882</v>
      </c>
      <c r="E30" s="296">
        <f>+Flujo!E68</f>
        <v>-78982823</v>
      </c>
      <c r="F30" s="297">
        <v>-73445528</v>
      </c>
      <c r="H30" s="285" t="s">
        <v>59</v>
      </c>
      <c r="I30" s="285" t="s">
        <v>6</v>
      </c>
      <c r="J30" s="292">
        <f>-C67</f>
        <v>-1673827</v>
      </c>
      <c r="K30" s="301"/>
      <c r="L30" s="292">
        <f>-E67</f>
        <v>1986816</v>
      </c>
      <c r="M30" s="301"/>
      <c r="N30" s="288"/>
      <c r="O30" s="289"/>
      <c r="P30" s="288"/>
      <c r="Q30" s="302"/>
      <c r="R30" s="247"/>
      <c r="T30" s="302"/>
    </row>
    <row r="31" spans="1:20" ht="15" customHeight="1">
      <c r="A31" s="300"/>
      <c r="B31" s="223" t="s">
        <v>24</v>
      </c>
      <c r="C31" s="231" t="s">
        <v>4</v>
      </c>
      <c r="D31" s="303">
        <f>SUM(D28:D30)</f>
        <v>102882828</v>
      </c>
      <c r="E31" s="303">
        <f>SUM(E28:E30)</f>
        <v>32082284</v>
      </c>
      <c r="F31" s="304">
        <f>SUM(F28:F30)</f>
        <v>32082284</v>
      </c>
      <c r="H31" s="285" t="s">
        <v>29</v>
      </c>
      <c r="I31" s="285" t="s">
        <v>6</v>
      </c>
      <c r="J31" s="292">
        <v>0</v>
      </c>
      <c r="K31" s="287"/>
      <c r="L31" s="292">
        <v>0</v>
      </c>
      <c r="M31" s="287"/>
      <c r="N31" s="288"/>
      <c r="O31" s="289"/>
      <c r="P31" s="288">
        <v>37</v>
      </c>
      <c r="R31" s="247"/>
    </row>
    <row r="32" spans="1:20" ht="15" customHeight="1">
      <c r="A32" s="300"/>
      <c r="B32" s="230" t="s">
        <v>27</v>
      </c>
      <c r="C32" s="231" t="s">
        <v>4</v>
      </c>
      <c r="D32" s="296">
        <f>+Flujo!D73</f>
        <v>72062758</v>
      </c>
      <c r="E32" s="296">
        <f>+Flujo!E73</f>
        <v>39980474</v>
      </c>
      <c r="F32" s="297">
        <v>39980474</v>
      </c>
      <c r="H32" s="305" t="s">
        <v>20</v>
      </c>
      <c r="I32" s="285"/>
      <c r="J32" s="306">
        <f>SUM(J26:J31)</f>
        <v>219312622</v>
      </c>
      <c r="K32" s="287"/>
      <c r="L32" s="306">
        <f>SUM(L26:L31)</f>
        <v>283779424</v>
      </c>
      <c r="M32" s="307">
        <f>ROUND((J32/L32)-1,4)</f>
        <v>-0.22720000000000001</v>
      </c>
      <c r="N32" s="298"/>
      <c r="O32" s="308"/>
      <c r="P32" s="285">
        <v>9</v>
      </c>
      <c r="R32" s="247"/>
    </row>
    <row r="33" spans="2:20" ht="15" customHeight="1" thickBot="1">
      <c r="B33" s="252" t="s">
        <v>28</v>
      </c>
      <c r="C33" s="309" t="s">
        <v>4</v>
      </c>
      <c r="D33" s="310">
        <f>+D32+D31</f>
        <v>174945586</v>
      </c>
      <c r="E33" s="310">
        <f>+E32+E31</f>
        <v>72062758</v>
      </c>
      <c r="F33" s="311">
        <f>+F32+F31</f>
        <v>72062758</v>
      </c>
      <c r="H33" s="305"/>
      <c r="I33" s="285"/>
      <c r="J33" s="286"/>
      <c r="K33" s="287"/>
      <c r="L33" s="286"/>
      <c r="M33" s="287"/>
      <c r="N33" s="298"/>
      <c r="O33" s="289"/>
      <c r="P33" s="285">
        <f>+P31+P32</f>
        <v>46</v>
      </c>
      <c r="Q33" s="312"/>
      <c r="R33" s="247"/>
      <c r="T33" s="312"/>
    </row>
    <row r="34" spans="2:20" ht="15" customHeight="1" thickBot="1">
      <c r="D34" s="16">
        <f>+D33-Balance!D6</f>
        <v>0</v>
      </c>
      <c r="E34" s="16">
        <f>+E33-Balance!E6</f>
        <v>0</v>
      </c>
      <c r="F34" s="16">
        <f>+F33-Balance!E6</f>
        <v>0</v>
      </c>
      <c r="H34" s="305"/>
      <c r="I34" s="285"/>
      <c r="J34" s="286"/>
      <c r="K34" s="313"/>
      <c r="L34" s="286"/>
      <c r="M34" s="313"/>
      <c r="N34" s="298"/>
      <c r="O34" s="308"/>
      <c r="P34" s="314"/>
      <c r="Q34" s="212"/>
      <c r="R34" s="247"/>
      <c r="T34" s="212"/>
    </row>
    <row r="35" spans="2:20" ht="15" customHeight="1">
      <c r="B35" s="315" t="s">
        <v>84</v>
      </c>
      <c r="C35" s="455" t="s">
        <v>289</v>
      </c>
      <c r="D35" s="316">
        <f>+E13</f>
        <v>644453334</v>
      </c>
      <c r="E35" s="247"/>
      <c r="F35" s="247"/>
      <c r="H35" s="305" t="s">
        <v>54</v>
      </c>
      <c r="I35" s="285"/>
      <c r="J35" s="286">
        <f>+D18</f>
        <v>478773563</v>
      </c>
      <c r="K35" s="287"/>
      <c r="L35" s="286">
        <f>+E18</f>
        <v>484329084</v>
      </c>
      <c r="M35" s="287"/>
      <c r="N35" s="298"/>
      <c r="O35" s="285"/>
      <c r="P35" s="314">
        <f>ROUND((J35/L35)-1,4)</f>
        <v>-1.15E-2</v>
      </c>
      <c r="R35" s="247"/>
    </row>
    <row r="36" spans="2:20" ht="15" customHeight="1" thickBot="1">
      <c r="B36" s="317" t="s">
        <v>242</v>
      </c>
      <c r="C36" s="456" t="s">
        <v>289</v>
      </c>
      <c r="D36" s="319">
        <f>+E8</f>
        <v>2001444302</v>
      </c>
      <c r="E36" s="247"/>
      <c r="F36" s="247"/>
      <c r="H36" s="205"/>
      <c r="J36" s="320"/>
      <c r="K36" s="212"/>
      <c r="L36" s="320"/>
      <c r="M36" s="212"/>
      <c r="N36" s="271"/>
      <c r="P36" s="271"/>
      <c r="R36" s="247"/>
    </row>
    <row r="37" spans="2:20" ht="15" customHeight="1" thickBot="1">
      <c r="B37" s="317"/>
      <c r="C37" s="318"/>
      <c r="D37" s="319"/>
      <c r="E37" s="247"/>
      <c r="F37" s="247"/>
      <c r="H37" s="227" t="s">
        <v>30</v>
      </c>
      <c r="J37" s="228"/>
      <c r="K37" s="212"/>
      <c r="L37" s="228"/>
      <c r="M37" s="212"/>
      <c r="N37" s="214"/>
      <c r="P37" s="271"/>
      <c r="Q37" s="279"/>
      <c r="R37" s="279" t="s">
        <v>0</v>
      </c>
      <c r="T37" s="279"/>
    </row>
    <row r="38" spans="2:20" ht="15" customHeight="1">
      <c r="B38" s="317"/>
      <c r="C38" s="318"/>
      <c r="D38" s="321"/>
      <c r="E38" s="247"/>
      <c r="F38" s="247"/>
      <c r="H38" s="205" t="s">
        <v>31</v>
      </c>
      <c r="J38" s="228"/>
      <c r="K38" s="212"/>
      <c r="L38" s="228"/>
      <c r="M38" s="212"/>
      <c r="N38" s="214"/>
      <c r="O38" s="322"/>
      <c r="P38" s="206"/>
      <c r="R38" s="247"/>
    </row>
    <row r="39" spans="2:20" ht="15" customHeight="1" thickBot="1">
      <c r="B39" s="323"/>
      <c r="C39" s="324"/>
      <c r="D39" s="325"/>
      <c r="H39" s="236" t="s">
        <v>32</v>
      </c>
      <c r="I39" s="206" t="s">
        <v>6</v>
      </c>
      <c r="J39" s="237">
        <f>Anualizados!C6</f>
        <v>98691668</v>
      </c>
      <c r="K39" s="257">
        <f>ROUND(J39/J40,4)*100</f>
        <v>13.29</v>
      </c>
      <c r="L39" s="237">
        <f>+E69</f>
        <v>141737188</v>
      </c>
      <c r="M39" s="257">
        <f>ROUND(L39/L40,4)*100</f>
        <v>22.09</v>
      </c>
      <c r="N39" s="258"/>
      <c r="O39" s="240">
        <f>ROUND((K39/M39)-1,4)</f>
        <v>-0.39839999999999998</v>
      </c>
      <c r="P39" s="241">
        <f>ROUND((J39/L39)-1,3)</f>
        <v>-0.30399999999999999</v>
      </c>
      <c r="Q39" s="228">
        <f>+J39-L39</f>
        <v>-43045520</v>
      </c>
      <c r="R39" s="326"/>
    </row>
    <row r="40" spans="2:20" ht="15" customHeight="1" thickBot="1">
      <c r="H40" s="206" t="s">
        <v>77</v>
      </c>
      <c r="I40" s="206" t="s">
        <v>0</v>
      </c>
      <c r="J40" s="228">
        <f>ROUND((D13+D35)/2,0)</f>
        <v>742588288</v>
      </c>
      <c r="K40" s="212"/>
      <c r="L40" s="228">
        <f>ROUND((E13+F13)/2,0)</f>
        <v>641536995</v>
      </c>
      <c r="M40" s="212"/>
      <c r="N40" s="214"/>
      <c r="O40" s="326"/>
      <c r="P40" s="241">
        <f>ROUND((J40/L40)-1,3)</f>
        <v>0.158</v>
      </c>
      <c r="Q40" s="228">
        <f>+J40-L40</f>
        <v>101051293</v>
      </c>
      <c r="R40" s="247"/>
    </row>
    <row r="41" spans="2:20" ht="15" customHeight="1">
      <c r="B41" s="327" t="s">
        <v>221</v>
      </c>
      <c r="C41" s="218" t="s">
        <v>288</v>
      </c>
      <c r="D41" s="218" t="s">
        <v>248</v>
      </c>
      <c r="H41" s="205" t="s">
        <v>33</v>
      </c>
      <c r="J41" s="228"/>
      <c r="K41" s="212"/>
      <c r="L41" s="228"/>
      <c r="M41" s="212"/>
      <c r="N41" s="214"/>
      <c r="O41" s="322"/>
      <c r="P41" s="328"/>
      <c r="Q41" s="326"/>
      <c r="R41" s="247"/>
    </row>
    <row r="42" spans="2:20" ht="15" customHeight="1">
      <c r="B42" s="230" t="s">
        <v>254</v>
      </c>
      <c r="C42" s="329">
        <v>7.2615999999999996</v>
      </c>
      <c r="D42" s="330"/>
      <c r="H42" s="236" t="s">
        <v>32</v>
      </c>
      <c r="I42" s="206" t="s">
        <v>6</v>
      </c>
      <c r="J42" s="275">
        <f>+J39</f>
        <v>98691668</v>
      </c>
      <c r="K42" s="257">
        <f>ROUND(J42/J43,4)*100</f>
        <v>4.7600000000000007</v>
      </c>
      <c r="L42" s="275">
        <f>+L39</f>
        <v>141737188</v>
      </c>
      <c r="M42" s="257">
        <f>ROUND(L42/L43,4)*100</f>
        <v>7.2499999999999991</v>
      </c>
      <c r="N42" s="258"/>
      <c r="O42" s="240">
        <f>ROUND((K42/M42)-1,4)</f>
        <v>-0.34339999999999998</v>
      </c>
      <c r="P42" s="241">
        <f>ROUND((J42/L42)-1,3)</f>
        <v>-0.30399999999999999</v>
      </c>
      <c r="Q42" s="228">
        <f>+J42-L42</f>
        <v>-43045520</v>
      </c>
    </row>
    <row r="43" spans="2:20" ht="15" customHeight="1">
      <c r="B43" s="230" t="s">
        <v>287</v>
      </c>
      <c r="C43" s="329">
        <v>10.59</v>
      </c>
      <c r="D43" s="226"/>
      <c r="H43" s="206" t="s">
        <v>34</v>
      </c>
      <c r="I43" s="206" t="s">
        <v>0</v>
      </c>
      <c r="J43" s="331">
        <f>ROUND((+D8+D36)/2,0)</f>
        <v>2072940395</v>
      </c>
      <c r="K43" s="212"/>
      <c r="L43" s="331">
        <f>ROUND((E8+F8)/2,0)</f>
        <v>1953748201</v>
      </c>
      <c r="M43" s="212"/>
      <c r="N43" s="332"/>
      <c r="O43" s="326"/>
      <c r="P43" s="241">
        <f>ROUND((J43/L43)-1,3)</f>
        <v>6.0999999999999999E-2</v>
      </c>
      <c r="Q43" s="228">
        <f>+J43-L43</f>
        <v>119192194</v>
      </c>
    </row>
    <row r="44" spans="2:20" ht="15" customHeight="1">
      <c r="B44" s="230" t="s">
        <v>220</v>
      </c>
      <c r="C44" s="329"/>
      <c r="D44" s="226">
        <f>+[5]cálculos!$C$42</f>
        <v>14.647399999999999</v>
      </c>
      <c r="H44" s="205" t="s">
        <v>35</v>
      </c>
      <c r="J44" s="228"/>
      <c r="K44" s="212"/>
      <c r="L44" s="228"/>
      <c r="M44" s="212"/>
      <c r="N44" s="214"/>
      <c r="P44" s="333"/>
    </row>
    <row r="45" spans="2:20" ht="15" customHeight="1">
      <c r="B45" s="230" t="s">
        <v>219</v>
      </c>
      <c r="C45" s="224"/>
      <c r="D45" s="226">
        <f>+[5]cálculos!$C$43</f>
        <v>7.0639000000000003</v>
      </c>
      <c r="H45" s="236" t="s">
        <v>36</v>
      </c>
      <c r="I45" s="206" t="s">
        <v>6</v>
      </c>
      <c r="J45" s="237">
        <f>+J42*1000</f>
        <v>98691668000</v>
      </c>
      <c r="K45" s="238">
        <f>ROUND(J45/J46,2)</f>
        <v>16.13</v>
      </c>
      <c r="L45" s="237">
        <f>+L39*1000</f>
        <v>141737188000</v>
      </c>
      <c r="M45" s="238">
        <f>ROUND(L45/L46,2)</f>
        <v>23.16</v>
      </c>
      <c r="N45" s="334"/>
      <c r="O45" s="240">
        <f>ROUND((K45/M45)-1,4)</f>
        <v>-0.30349999999999999</v>
      </c>
      <c r="P45" s="241">
        <f>ROUND((J45/L45)-1,3)</f>
        <v>-0.30399999999999999</v>
      </c>
    </row>
    <row r="46" spans="2:20" ht="15" customHeight="1" thickBot="1">
      <c r="B46" s="335"/>
      <c r="C46" s="336">
        <f>SUM(C42:C45)</f>
        <v>17.851599999999998</v>
      </c>
      <c r="D46" s="337">
        <f>SUM(D42:D45)</f>
        <v>21.711300000000001</v>
      </c>
      <c r="E46" s="338"/>
      <c r="H46" s="206" t="s">
        <v>37</v>
      </c>
      <c r="J46" s="339">
        <v>6118965160</v>
      </c>
      <c r="K46" s="212"/>
      <c r="L46" s="339">
        <v>6118965160</v>
      </c>
      <c r="M46" s="212"/>
      <c r="N46" s="214"/>
      <c r="P46" s="241">
        <f>ROUND((J46/L46)-1,3)</f>
        <v>0</v>
      </c>
    </row>
    <row r="47" spans="2:20" ht="15" customHeight="1">
      <c r="E47" s="340"/>
      <c r="J47" s="228"/>
      <c r="K47" s="212"/>
      <c r="L47" s="341" t="s">
        <v>0</v>
      </c>
      <c r="M47" s="212"/>
      <c r="N47" s="214"/>
      <c r="O47" s="322"/>
    </row>
    <row r="48" spans="2:20" ht="15" customHeight="1" thickBot="1">
      <c r="C48" s="340"/>
      <c r="D48" s="340"/>
      <c r="E48" s="340"/>
      <c r="H48" s="205" t="s">
        <v>38</v>
      </c>
      <c r="J48" s="228"/>
      <c r="K48" s="212"/>
      <c r="L48" s="341"/>
      <c r="M48" s="212"/>
      <c r="N48" s="214"/>
      <c r="O48" s="322"/>
    </row>
    <row r="49" spans="2:16" ht="15" customHeight="1">
      <c r="B49" s="216" t="s">
        <v>170</v>
      </c>
      <c r="C49" s="342" t="str">
        <f>+D16</f>
        <v>Dic-20</v>
      </c>
      <c r="D49" s="342" t="str">
        <f>+E16</f>
        <v>Dic-19</v>
      </c>
      <c r="E49" s="342" t="str">
        <f>+F27</f>
        <v>Dic-19</v>
      </c>
      <c r="H49" s="236" t="s">
        <v>39</v>
      </c>
      <c r="I49" s="206" t="s">
        <v>6</v>
      </c>
      <c r="J49" s="343">
        <f>+C46</f>
        <v>17.851599999999998</v>
      </c>
      <c r="K49" s="257">
        <f>ROUND(J49/J50,4)*100</f>
        <v>7.8</v>
      </c>
      <c r="L49" s="344">
        <f>+D46</f>
        <v>21.711300000000001</v>
      </c>
      <c r="M49" s="257">
        <f>ROUND(L49/L50,4)*100</f>
        <v>6.81</v>
      </c>
      <c r="N49" s="312"/>
      <c r="O49" s="240">
        <f>ROUND((K49/M49)-1,4)</f>
        <v>0.1454</v>
      </c>
      <c r="P49" s="241">
        <f>ROUND((J49/L49)-1,3)</f>
        <v>-0.17799999999999999</v>
      </c>
    </row>
    <row r="50" spans="2:16" ht="15" customHeight="1">
      <c r="B50" s="230" t="s">
        <v>85</v>
      </c>
      <c r="C50" s="345">
        <f>+Resultado!D5</f>
        <v>478773563</v>
      </c>
      <c r="D50" s="345">
        <f>+Resultado!E5</f>
        <v>484329084</v>
      </c>
      <c r="E50" s="345">
        <v>484329084</v>
      </c>
      <c r="F50" s="346"/>
      <c r="H50" s="206" t="s">
        <v>40</v>
      </c>
      <c r="J50" s="347">
        <v>228.99</v>
      </c>
      <c r="K50" s="277" t="s">
        <v>0</v>
      </c>
      <c r="L50" s="347">
        <f>+[5]cálculos!$J$50</f>
        <v>319</v>
      </c>
      <c r="M50" s="277" t="s">
        <v>0</v>
      </c>
      <c r="N50" s="348"/>
      <c r="O50" s="326"/>
      <c r="P50" s="241">
        <f>ROUND((J50/L50)-1,3)</f>
        <v>-0.28199999999999997</v>
      </c>
    </row>
    <row r="51" spans="2:16" ht="15" customHeight="1">
      <c r="B51" s="230" t="s">
        <v>86</v>
      </c>
      <c r="C51" s="345">
        <f>+Resultado!D6</f>
        <v>-43542356</v>
      </c>
      <c r="D51" s="345">
        <f>+Resultado!E6</f>
        <v>-37518383</v>
      </c>
      <c r="E51" s="345">
        <v>-37518383</v>
      </c>
      <c r="F51" s="346"/>
      <c r="L51" s="206"/>
      <c r="M51" s="206"/>
      <c r="N51" s="206"/>
      <c r="P51" s="333"/>
    </row>
    <row r="52" spans="2:16" ht="15" customHeight="1">
      <c r="B52" s="230" t="s">
        <v>78</v>
      </c>
      <c r="C52" s="345">
        <f>+Resultado!D7</f>
        <v>-55045719</v>
      </c>
      <c r="D52" s="345">
        <f>+Resultado!E7</f>
        <v>-50638865</v>
      </c>
      <c r="E52" s="345">
        <v>-50638865</v>
      </c>
      <c r="F52" s="346"/>
      <c r="J52" s="340"/>
      <c r="L52" s="206"/>
      <c r="M52" s="349"/>
      <c r="N52" s="206"/>
    </row>
    <row r="53" spans="2:16" ht="15" customHeight="1">
      <c r="B53" s="230" t="s">
        <v>79</v>
      </c>
      <c r="C53" s="345">
        <f>+Resultado!D8</f>
        <v>-67134809</v>
      </c>
      <c r="D53" s="345">
        <f>+Resultado!E8</f>
        <v>-63951173</v>
      </c>
      <c r="E53" s="345">
        <v>-63951173</v>
      </c>
      <c r="F53" s="346"/>
      <c r="J53" s="340"/>
      <c r="L53" s="206"/>
      <c r="M53" s="206"/>
      <c r="N53" s="206"/>
    </row>
    <row r="54" spans="2:16" ht="15" customHeight="1">
      <c r="B54" s="230" t="s">
        <v>87</v>
      </c>
      <c r="C54" s="345">
        <f>+Resultado!D9</f>
        <v>-1404946</v>
      </c>
      <c r="D54" s="345">
        <f>+Resultado!E9</f>
        <v>0</v>
      </c>
      <c r="E54" s="345">
        <v>0</v>
      </c>
      <c r="F54" s="346"/>
      <c r="L54" s="206"/>
      <c r="M54" s="206"/>
      <c r="N54" s="206"/>
      <c r="P54" s="350"/>
    </row>
    <row r="55" spans="2:16" ht="15" customHeight="1">
      <c r="B55" s="230" t="s">
        <v>88</v>
      </c>
      <c r="C55" s="345">
        <f>+Resultado!D10</f>
        <v>-144853561</v>
      </c>
      <c r="D55" s="345">
        <f>+Resultado!E10</f>
        <v>-110865349</v>
      </c>
      <c r="E55" s="345">
        <v>-110865349</v>
      </c>
      <c r="F55" s="346"/>
      <c r="L55" s="206"/>
      <c r="M55" s="206"/>
      <c r="N55" s="206"/>
    </row>
    <row r="56" spans="2:16" ht="15" customHeight="1">
      <c r="B56" s="223" t="s">
        <v>64</v>
      </c>
      <c r="C56" s="351">
        <f>SUM(C50:C55)</f>
        <v>166792172</v>
      </c>
      <c r="D56" s="351">
        <f>SUM(D50:D55)</f>
        <v>221355314</v>
      </c>
      <c r="E56" s="351">
        <f>SUM(E50:E55)</f>
        <v>221355314</v>
      </c>
      <c r="F56" s="346"/>
      <c r="H56" s="352"/>
      <c r="I56" s="353"/>
      <c r="J56" s="354"/>
      <c r="K56" s="355"/>
      <c r="L56" s="354"/>
      <c r="M56" s="355"/>
      <c r="N56" s="214"/>
      <c r="O56" s="356"/>
      <c r="P56" s="357"/>
    </row>
    <row r="57" spans="2:16" ht="15" customHeight="1">
      <c r="B57" s="230" t="s">
        <v>65</v>
      </c>
      <c r="C57" s="345">
        <f>+Resultado!D13</f>
        <v>3868561</v>
      </c>
      <c r="D57" s="345">
        <f>+Resultado!E13</f>
        <v>5223315</v>
      </c>
      <c r="E57" s="345">
        <v>5223315</v>
      </c>
      <c r="F57" s="346"/>
      <c r="H57" s="352"/>
      <c r="I57" s="353"/>
      <c r="J57" s="354"/>
      <c r="K57" s="355"/>
      <c r="L57" s="354"/>
      <c r="M57" s="355"/>
      <c r="N57" s="214"/>
      <c r="O57" s="358"/>
      <c r="P57" s="213"/>
    </row>
    <row r="58" spans="2:16" ht="15" customHeight="1">
      <c r="B58" s="230" t="s">
        <v>66</v>
      </c>
      <c r="C58" s="345">
        <f>+Resultado!D14</f>
        <v>-28172393</v>
      </c>
      <c r="D58" s="345">
        <f>+Resultado!E14</f>
        <v>-26752209</v>
      </c>
      <c r="E58" s="345">
        <v>-26752209</v>
      </c>
      <c r="F58" s="346"/>
      <c r="H58" s="353"/>
      <c r="I58" s="353"/>
      <c r="J58" s="354"/>
      <c r="K58" s="359"/>
      <c r="L58" s="354"/>
      <c r="M58" s="359"/>
      <c r="N58" s="312"/>
      <c r="O58" s="360"/>
      <c r="P58" s="361"/>
    </row>
    <row r="59" spans="2:16" ht="15" customHeight="1">
      <c r="B59" s="230" t="s">
        <v>67</v>
      </c>
      <c r="C59" s="345">
        <f>+Resultado!D15</f>
        <v>-496138</v>
      </c>
      <c r="D59" s="345">
        <f>+Resultado!E15</f>
        <v>-481551</v>
      </c>
      <c r="E59" s="345">
        <v>-481551</v>
      </c>
      <c r="F59" s="346"/>
      <c r="H59" s="353"/>
      <c r="I59" s="353"/>
      <c r="J59" s="355"/>
      <c r="K59" s="362"/>
      <c r="L59" s="355"/>
      <c r="M59" s="362"/>
      <c r="N59" s="214"/>
      <c r="O59" s="358"/>
      <c r="P59" s="361"/>
    </row>
    <row r="60" spans="2:16" ht="15" customHeight="1">
      <c r="B60" s="230" t="s">
        <v>68</v>
      </c>
      <c r="C60" s="345">
        <f>+Resultado!D16</f>
        <v>-22343279</v>
      </c>
      <c r="D60" s="345">
        <f>+Resultado!E16</f>
        <v>-21552953</v>
      </c>
      <c r="E60" s="345">
        <v>-21552953</v>
      </c>
      <c r="F60" s="346"/>
      <c r="H60" s="352"/>
      <c r="I60" s="353"/>
      <c r="J60" s="354"/>
      <c r="K60" s="355"/>
      <c r="L60" s="354"/>
      <c r="M60" s="355"/>
      <c r="N60" s="214"/>
      <c r="O60" s="358"/>
      <c r="P60" s="213"/>
    </row>
    <row r="61" spans="2:16" ht="15" customHeight="1">
      <c r="B61" s="223" t="s">
        <v>69</v>
      </c>
      <c r="C61" s="351">
        <f>SUM(C57:C60)</f>
        <v>-47143249</v>
      </c>
      <c r="D61" s="351">
        <f>SUM(D57:D60)</f>
        <v>-43563398</v>
      </c>
      <c r="E61" s="351">
        <f>SUM(E57:E60)</f>
        <v>-43563398</v>
      </c>
      <c r="F61" s="346"/>
      <c r="H61" s="353"/>
      <c r="I61" s="363"/>
      <c r="J61" s="355"/>
      <c r="K61" s="359"/>
      <c r="L61" s="355"/>
      <c r="M61" s="359"/>
      <c r="N61" s="364"/>
      <c r="O61" s="360"/>
      <c r="P61" s="361"/>
    </row>
    <row r="62" spans="2:16" ht="15" customHeight="1">
      <c r="B62" s="230" t="s">
        <v>75</v>
      </c>
      <c r="C62" s="345">
        <f>+Resultado!D11</f>
        <v>-3967292</v>
      </c>
      <c r="D62" s="345">
        <f>+Resultado!E11</f>
        <v>14280922</v>
      </c>
      <c r="E62" s="345">
        <v>14280922</v>
      </c>
      <c r="F62" s="346"/>
      <c r="H62" s="353"/>
      <c r="I62" s="353"/>
      <c r="J62" s="354"/>
      <c r="K62" s="362"/>
      <c r="L62" s="354"/>
      <c r="M62" s="362"/>
      <c r="N62" s="271"/>
      <c r="O62" s="358"/>
      <c r="P62" s="361"/>
    </row>
    <row r="63" spans="2:16" ht="15" customHeight="1">
      <c r="B63" s="230" t="s">
        <v>70</v>
      </c>
      <c r="C63" s="345"/>
      <c r="D63" s="345"/>
      <c r="E63" s="345"/>
      <c r="F63" s="346"/>
      <c r="H63" s="365"/>
      <c r="I63" s="209"/>
      <c r="J63" s="366"/>
      <c r="K63" s="271"/>
      <c r="L63" s="366"/>
      <c r="M63" s="271"/>
      <c r="N63" s="214"/>
      <c r="O63" s="358"/>
      <c r="P63" s="213"/>
    </row>
    <row r="64" spans="2:16" ht="15" customHeight="1">
      <c r="B64" s="223" t="s">
        <v>71</v>
      </c>
      <c r="C64" s="351">
        <f>+C56+C61+C62+C63</f>
        <v>115681631</v>
      </c>
      <c r="D64" s="351">
        <f>+D56+D61+D62+D63</f>
        <v>192072838</v>
      </c>
      <c r="E64" s="351">
        <f>+E56+E61+E62+E63</f>
        <v>192072838</v>
      </c>
      <c r="F64" s="346"/>
      <c r="L64" s="367"/>
      <c r="N64" s="214"/>
    </row>
    <row r="65" spans="2:14" ht="15" customHeight="1">
      <c r="B65" s="230" t="s">
        <v>72</v>
      </c>
      <c r="C65" s="345">
        <f>+Resultado!D19</f>
        <v>-26987579</v>
      </c>
      <c r="D65" s="345">
        <f>+Resultado!E19</f>
        <v>-49352038</v>
      </c>
      <c r="E65" s="345">
        <v>-49352038</v>
      </c>
      <c r="F65" s="346"/>
      <c r="K65" s="368"/>
      <c r="M65" s="368"/>
    </row>
    <row r="66" spans="2:14" ht="15" customHeight="1">
      <c r="B66" s="230" t="s">
        <v>268</v>
      </c>
      <c r="C66" s="345">
        <f>+Resultado!D21</f>
        <v>11671443</v>
      </c>
      <c r="D66" s="345">
        <f>+Resultado!E21</f>
        <v>-2970428</v>
      </c>
      <c r="E66" s="345">
        <v>-2970428</v>
      </c>
      <c r="F66" s="346"/>
      <c r="K66" s="368"/>
      <c r="M66" s="368"/>
    </row>
    <row r="67" spans="2:14" ht="15" customHeight="1">
      <c r="B67" s="230" t="s">
        <v>73</v>
      </c>
      <c r="C67" s="345">
        <f>+Resultado!D26</f>
        <v>1673827</v>
      </c>
      <c r="D67" s="345">
        <f>+Resultado!E26</f>
        <v>-1986816</v>
      </c>
      <c r="E67" s="345">
        <v>-1986816</v>
      </c>
      <c r="F67" s="346"/>
    </row>
    <row r="68" spans="2:14" ht="15" customHeight="1">
      <c r="B68" s="369" t="s">
        <v>76</v>
      </c>
      <c r="C68" s="370">
        <f>+C64+C65+C66</f>
        <v>100365495</v>
      </c>
      <c r="D68" s="370">
        <f>+D64+D65+D66</f>
        <v>139750372</v>
      </c>
      <c r="E68" s="370">
        <f>+E64+E65+E66</f>
        <v>139750372</v>
      </c>
      <c r="F68" s="346"/>
    </row>
    <row r="69" spans="2:14" ht="15" customHeight="1" thickBot="1">
      <c r="B69" s="371" t="s">
        <v>74</v>
      </c>
      <c r="C69" s="372">
        <f>+C68-C67</f>
        <v>98691668</v>
      </c>
      <c r="D69" s="372">
        <f t="shared" ref="D69:E69" si="1">+D68-D67</f>
        <v>141737188</v>
      </c>
      <c r="E69" s="372">
        <f t="shared" si="1"/>
        <v>141737188</v>
      </c>
      <c r="F69" s="346"/>
    </row>
    <row r="70" spans="2:14" ht="15" customHeight="1">
      <c r="D70" s="346"/>
    </row>
    <row r="71" spans="2:14" ht="15" customHeight="1">
      <c r="D71" s="346"/>
    </row>
    <row r="72" spans="2:14" ht="15" customHeight="1">
      <c r="D72" s="346"/>
    </row>
    <row r="73" spans="2:14" ht="15" customHeight="1">
      <c r="C73" s="373"/>
    </row>
    <row r="75" spans="2:14" ht="15" customHeight="1">
      <c r="N75" s="206"/>
    </row>
    <row r="76" spans="2:14" ht="15" customHeight="1">
      <c r="C76" s="346"/>
      <c r="L76" s="206"/>
      <c r="M76" s="206"/>
      <c r="N76" s="206"/>
    </row>
    <row r="77" spans="2:14" ht="15" customHeight="1">
      <c r="L77" s="206"/>
      <c r="M77" s="206"/>
      <c r="N77" s="206"/>
    </row>
    <row r="78" spans="2:14" ht="15" customHeight="1">
      <c r="L78" s="206"/>
      <c r="M78" s="206"/>
      <c r="N78" s="206"/>
    </row>
    <row r="79" spans="2:14" ht="15" customHeight="1">
      <c r="L79" s="206"/>
      <c r="M79" s="206"/>
      <c r="N79" s="206"/>
    </row>
    <row r="80" spans="2:14" ht="15" customHeight="1">
      <c r="L80" s="206"/>
      <c r="M80" s="206"/>
      <c r="N80" s="206"/>
    </row>
    <row r="81" spans="12:14" ht="15" customHeight="1">
      <c r="L81" s="206"/>
      <c r="M81" s="206"/>
      <c r="N81" s="206"/>
    </row>
    <row r="82" spans="12:14" ht="15" customHeight="1">
      <c r="L82" s="206"/>
      <c r="M82" s="206"/>
      <c r="N82" s="206"/>
    </row>
    <row r="83" spans="12:14" ht="15" customHeight="1">
      <c r="L83" s="206"/>
      <c r="M83" s="206"/>
      <c r="N83" s="206"/>
    </row>
    <row r="84" spans="12:14" ht="15" customHeight="1">
      <c r="L84" s="206"/>
      <c r="M84" s="206"/>
      <c r="N84" s="206"/>
    </row>
    <row r="85" spans="12:14" ht="15" customHeight="1">
      <c r="L85" s="206"/>
      <c r="M85" s="206"/>
      <c r="N85" s="206"/>
    </row>
    <row r="86" spans="12:14" ht="15" customHeight="1">
      <c r="L86" s="206"/>
      <c r="M86" s="206"/>
      <c r="N86" s="206"/>
    </row>
    <row r="87" spans="12:14" ht="15" customHeight="1">
      <c r="L87" s="206"/>
      <c r="M87" s="206"/>
      <c r="N87" s="206"/>
    </row>
    <row r="88" spans="12:14" ht="15" customHeight="1">
      <c r="L88" s="206"/>
      <c r="M88" s="206"/>
      <c r="N88" s="206"/>
    </row>
    <row r="89" spans="12:14" ht="15" customHeight="1">
      <c r="L89" s="206"/>
      <c r="M89" s="206"/>
      <c r="N89" s="206"/>
    </row>
    <row r="90" spans="12:14" ht="15" customHeight="1">
      <c r="L90" s="206"/>
      <c r="M90" s="206"/>
      <c r="N90" s="206"/>
    </row>
    <row r="91" spans="12:14" ht="15" customHeight="1">
      <c r="L91" s="206"/>
      <c r="M91" s="206"/>
      <c r="N91" s="206"/>
    </row>
    <row r="92" spans="12:14" ht="15" customHeight="1">
      <c r="L92" s="206"/>
      <c r="M92" s="206"/>
      <c r="N92" s="206"/>
    </row>
    <row r="93" spans="12:14" ht="15" customHeight="1">
      <c r="L93" s="206"/>
      <c r="M93" s="206"/>
      <c r="N93" s="206"/>
    </row>
    <row r="94" spans="12:14" ht="15" customHeight="1">
      <c r="L94" s="206"/>
      <c r="M94" s="206"/>
      <c r="N94" s="206"/>
    </row>
    <row r="95" spans="12:14" ht="15" customHeight="1">
      <c r="L95" s="206"/>
      <c r="M95" s="206"/>
      <c r="N95" s="206"/>
    </row>
    <row r="96" spans="12:14" ht="15" customHeight="1">
      <c r="L96" s="206"/>
      <c r="M96" s="206"/>
      <c r="N96" s="206"/>
    </row>
    <row r="97" spans="10:14" ht="15" customHeight="1">
      <c r="L97" s="206"/>
      <c r="M97" s="206"/>
      <c r="N97" s="206"/>
    </row>
    <row r="98" spans="10:14" ht="15" customHeight="1">
      <c r="L98" s="206"/>
      <c r="M98" s="206"/>
      <c r="N98" s="206"/>
    </row>
    <row r="99" spans="10:14" ht="15" customHeight="1">
      <c r="L99" s="206"/>
      <c r="M99" s="206"/>
      <c r="N99" s="206"/>
    </row>
    <row r="100" spans="10:14" ht="15" customHeight="1">
      <c r="J100" s="374"/>
      <c r="K100" s="375"/>
      <c r="M100" s="375"/>
      <c r="N100" s="374"/>
    </row>
    <row r="101" spans="10:14" ht="15" customHeight="1">
      <c r="J101" s="374"/>
      <c r="K101" s="375"/>
      <c r="M101" s="375"/>
      <c r="N101" s="374"/>
    </row>
    <row r="102" spans="10:14" ht="15" customHeight="1">
      <c r="J102" s="374"/>
      <c r="K102" s="375"/>
      <c r="M102" s="375"/>
      <c r="N102" s="374"/>
    </row>
    <row r="103" spans="10:14" ht="15" customHeight="1">
      <c r="J103" s="374"/>
      <c r="K103" s="375"/>
      <c r="M103" s="375"/>
      <c r="N103" s="374"/>
    </row>
    <row r="104" spans="10:14" ht="15" customHeight="1">
      <c r="J104" s="374"/>
      <c r="K104" s="375"/>
      <c r="M104" s="375"/>
      <c r="N104" s="374"/>
    </row>
    <row r="105" spans="10:14" ht="15" customHeight="1">
      <c r="J105" s="374"/>
      <c r="K105" s="375"/>
      <c r="M105" s="375"/>
      <c r="N105" s="374"/>
    </row>
    <row r="106" spans="10:14" ht="15" customHeight="1">
      <c r="J106" s="374"/>
      <c r="K106" s="375"/>
      <c r="L106" s="375"/>
      <c r="M106" s="375"/>
      <c r="N106" s="374"/>
    </row>
    <row r="107" spans="10:14" ht="15" customHeight="1">
      <c r="J107" s="374"/>
      <c r="K107" s="375"/>
      <c r="L107" s="375"/>
      <c r="M107" s="375"/>
      <c r="N107" s="374"/>
    </row>
    <row r="108" spans="10:14" ht="15" customHeight="1">
      <c r="J108" s="374"/>
      <c r="K108" s="375"/>
      <c r="L108" s="375"/>
      <c r="M108" s="375"/>
    </row>
    <row r="109" spans="10:14" ht="15" customHeight="1">
      <c r="J109" s="374"/>
      <c r="K109" s="375"/>
      <c r="L109" s="375"/>
      <c r="M109" s="375"/>
    </row>
    <row r="110" spans="10:14" ht="15" customHeight="1">
      <c r="J110" s="374"/>
      <c r="K110" s="375"/>
      <c r="L110" s="375"/>
      <c r="M110" s="375"/>
    </row>
    <row r="111" spans="10:14" ht="15" customHeight="1">
      <c r="J111" s="374"/>
      <c r="K111" s="375"/>
      <c r="L111" s="375"/>
      <c r="M111" s="375"/>
    </row>
    <row r="112" spans="10:14" ht="15" customHeight="1">
      <c r="J112" s="374"/>
      <c r="K112" s="375"/>
      <c r="L112" s="375"/>
      <c r="M112" s="375"/>
    </row>
    <row r="113" spans="10:13" ht="15" customHeight="1">
      <c r="J113" s="374"/>
      <c r="K113" s="375"/>
      <c r="L113" s="375"/>
      <c r="M113" s="375"/>
    </row>
    <row r="114" spans="10:13" ht="15" customHeight="1">
      <c r="J114" s="374"/>
      <c r="K114" s="375"/>
      <c r="L114" s="375"/>
      <c r="M114" s="375"/>
    </row>
    <row r="115" spans="10:13" ht="15" customHeight="1">
      <c r="J115" s="374"/>
      <c r="K115" s="375"/>
      <c r="L115" s="375"/>
      <c r="M115" s="375"/>
    </row>
    <row r="116" spans="10:13" ht="15" customHeight="1">
      <c r="J116" s="374"/>
      <c r="K116" s="375"/>
      <c r="L116" s="375"/>
      <c r="M116" s="375"/>
    </row>
    <row r="117" spans="10:13" ht="15" customHeight="1">
      <c r="J117" s="374"/>
      <c r="K117" s="375"/>
      <c r="L117" s="375"/>
      <c r="M117" s="375"/>
    </row>
    <row r="118" spans="10:13" ht="15" customHeight="1">
      <c r="J118" s="374"/>
      <c r="K118" s="375"/>
      <c r="L118" s="375"/>
      <c r="M118" s="375"/>
    </row>
    <row r="119" spans="10:13" ht="15" customHeight="1">
      <c r="J119" s="374"/>
      <c r="K119" s="375"/>
      <c r="L119" s="375"/>
      <c r="M119" s="375"/>
    </row>
    <row r="120" spans="10:13" ht="15" customHeight="1">
      <c r="J120" s="374"/>
      <c r="K120" s="375"/>
      <c r="L120" s="375"/>
      <c r="M120" s="375"/>
    </row>
    <row r="121" spans="10:13" ht="15" customHeight="1">
      <c r="J121" s="374"/>
      <c r="K121" s="375"/>
      <c r="L121" s="375"/>
      <c r="M121" s="375"/>
    </row>
    <row r="122" spans="10:13" ht="15" customHeight="1">
      <c r="J122" s="374"/>
      <c r="K122" s="375"/>
      <c r="M122" s="375"/>
    </row>
    <row r="123" spans="10:13" ht="15" customHeight="1">
      <c r="J123" s="374"/>
      <c r="K123" s="375"/>
      <c r="L123" s="375"/>
      <c r="M123" s="375"/>
    </row>
    <row r="124" spans="10:13" ht="15" customHeight="1">
      <c r="J124" s="374"/>
      <c r="K124" s="375"/>
      <c r="L124" s="375"/>
      <c r="M124" s="375"/>
    </row>
    <row r="125" spans="10:13" ht="15" customHeight="1">
      <c r="J125" s="374"/>
      <c r="K125" s="375"/>
      <c r="L125" s="375"/>
      <c r="M125" s="375"/>
    </row>
    <row r="126" spans="10:13" ht="15" customHeight="1">
      <c r="J126" s="374"/>
      <c r="K126" s="375"/>
      <c r="L126" s="375"/>
      <c r="M126" s="375"/>
    </row>
    <row r="127" spans="10:13" ht="15" customHeight="1">
      <c r="J127" s="374"/>
      <c r="K127" s="375"/>
      <c r="L127" s="375"/>
      <c r="M127" s="375"/>
    </row>
    <row r="128" spans="10:13" ht="15" customHeight="1">
      <c r="J128" s="374"/>
      <c r="K128" s="375"/>
      <c r="L128" s="375"/>
      <c r="M128" s="375"/>
    </row>
    <row r="129" spans="10:13" ht="15" customHeight="1">
      <c r="J129" s="374"/>
      <c r="K129" s="375"/>
      <c r="L129" s="375"/>
      <c r="M129" s="375"/>
    </row>
    <row r="130" spans="10:13" ht="15" customHeight="1">
      <c r="J130" s="374"/>
      <c r="K130" s="375"/>
      <c r="M130" s="375"/>
    </row>
    <row r="131" spans="10:13" ht="15" customHeight="1">
      <c r="J131" s="374"/>
      <c r="K131" s="375"/>
      <c r="M131" s="375"/>
    </row>
    <row r="132" spans="10:13" ht="15" customHeight="1">
      <c r="J132" s="374"/>
      <c r="K132" s="375"/>
      <c r="M132" s="375"/>
    </row>
    <row r="133" spans="10:13" ht="15" customHeight="1">
      <c r="J133" s="374"/>
      <c r="K133" s="375"/>
      <c r="M133" s="375"/>
    </row>
    <row r="134" spans="10:13" ht="15" customHeight="1">
      <c r="J134" s="374"/>
      <c r="K134" s="375"/>
      <c r="M134" s="375"/>
    </row>
    <row r="135" spans="10:13" ht="15" customHeight="1">
      <c r="J135" s="374"/>
      <c r="K135" s="375"/>
      <c r="M135" s="375"/>
    </row>
    <row r="136" spans="10:13" ht="15" customHeight="1">
      <c r="J136" s="374"/>
      <c r="K136" s="375"/>
      <c r="M136" s="375"/>
    </row>
    <row r="137" spans="10:13" ht="15" customHeight="1">
      <c r="J137" s="374"/>
      <c r="K137" s="375"/>
      <c r="M137" s="375"/>
    </row>
    <row r="138" spans="10:13" ht="15" customHeight="1">
      <c r="J138" s="374"/>
      <c r="K138" s="375"/>
      <c r="M138" s="375"/>
    </row>
    <row r="139" spans="10:13" ht="15" customHeight="1">
      <c r="J139" s="374"/>
      <c r="K139" s="375"/>
      <c r="M139" s="375"/>
    </row>
    <row r="140" spans="10:13" ht="15" customHeight="1">
      <c r="J140" s="374"/>
      <c r="K140" s="375"/>
      <c r="M140" s="375"/>
    </row>
    <row r="141" spans="10:13" ht="15" customHeight="1">
      <c r="J141" s="374"/>
      <c r="K141" s="375"/>
      <c r="M141" s="375"/>
    </row>
    <row r="142" spans="10:13" ht="15" customHeight="1">
      <c r="J142" s="374"/>
      <c r="K142" s="375"/>
      <c r="M142" s="375"/>
    </row>
    <row r="143" spans="10:13" ht="15" customHeight="1">
      <c r="J143" s="374"/>
      <c r="K143" s="375"/>
      <c r="M143" s="375"/>
    </row>
    <row r="144" spans="10:13" ht="15" customHeight="1">
      <c r="J144" s="374"/>
      <c r="K144" s="375"/>
      <c r="M144" s="375"/>
    </row>
    <row r="145" spans="10:13" ht="15" customHeight="1">
      <c r="J145" s="374"/>
      <c r="K145" s="375"/>
      <c r="M145" s="375"/>
    </row>
    <row r="146" spans="10:13" ht="15" customHeight="1">
      <c r="J146" s="374"/>
      <c r="K146" s="375"/>
      <c r="M146" s="375"/>
    </row>
    <row r="147" spans="10:13" ht="15" customHeight="1">
      <c r="J147" s="374"/>
      <c r="K147" s="375"/>
      <c r="M147" s="375"/>
    </row>
    <row r="148" spans="10:13" ht="15" customHeight="1">
      <c r="J148" s="326"/>
      <c r="K148" s="375"/>
      <c r="M148" s="375"/>
    </row>
    <row r="149" spans="10:13" ht="15" customHeight="1">
      <c r="J149" s="374"/>
      <c r="K149" s="375"/>
      <c r="M149" s="375"/>
    </row>
    <row r="150" spans="10:13" ht="15" customHeight="1">
      <c r="J150" s="374"/>
      <c r="K150" s="375"/>
      <c r="M150" s="375"/>
    </row>
    <row r="151" spans="10:13" ht="15" customHeight="1">
      <c r="J151" s="374"/>
      <c r="K151" s="375"/>
      <c r="M151" s="375"/>
    </row>
    <row r="152" spans="10:13" ht="15" customHeight="1">
      <c r="J152" s="374"/>
      <c r="K152" s="375"/>
      <c r="M152" s="375"/>
    </row>
    <row r="153" spans="10:13" ht="15" customHeight="1">
      <c r="J153" s="374"/>
      <c r="K153" s="375"/>
      <c r="L153" s="322"/>
      <c r="M153" s="375"/>
    </row>
    <row r="154" spans="10:13" ht="15" customHeight="1">
      <c r="J154" s="374"/>
      <c r="K154" s="375"/>
      <c r="L154" s="322"/>
      <c r="M154" s="375"/>
    </row>
    <row r="155" spans="10:13" ht="15" customHeight="1">
      <c r="J155" s="374"/>
      <c r="K155" s="375"/>
      <c r="L155" s="322"/>
      <c r="M155" s="375"/>
    </row>
    <row r="156" spans="10:13" ht="15" customHeight="1">
      <c r="J156" s="374"/>
      <c r="K156" s="375"/>
      <c r="L156" s="322"/>
      <c r="M156" s="375"/>
    </row>
    <row r="157" spans="10:13" ht="15" customHeight="1">
      <c r="J157" s="374"/>
      <c r="K157" s="375"/>
      <c r="L157" s="322"/>
      <c r="M157" s="375"/>
    </row>
    <row r="158" spans="10:13" ht="15" customHeight="1">
      <c r="J158" s="374"/>
      <c r="K158" s="375"/>
      <c r="L158" s="322"/>
      <c r="M158" s="375"/>
    </row>
    <row r="159" spans="10:13" ht="15" customHeight="1">
      <c r="J159" s="374"/>
      <c r="K159" s="375"/>
      <c r="L159" s="322"/>
      <c r="M159" s="375"/>
    </row>
    <row r="160" spans="10:13" ht="15" customHeight="1">
      <c r="J160" s="374"/>
      <c r="K160" s="375"/>
      <c r="L160" s="322"/>
      <c r="M160" s="375"/>
    </row>
    <row r="161" spans="12:12" ht="15" customHeight="1">
      <c r="L161" s="322"/>
    </row>
    <row r="162" spans="12:12" ht="15" customHeight="1">
      <c r="L162" s="322"/>
    </row>
    <row r="163" spans="12:12" ht="15" customHeight="1">
      <c r="L163" s="322"/>
    </row>
    <row r="164" spans="12:12" ht="15" customHeight="1">
      <c r="L164" s="322"/>
    </row>
    <row r="165" spans="12:12" ht="15" customHeight="1">
      <c r="L165" s="322"/>
    </row>
    <row r="184" spans="10:13" ht="15" customHeight="1">
      <c r="L184" s="376"/>
    </row>
    <row r="186" spans="10:13" ht="15" customHeight="1">
      <c r="J186" s="374"/>
      <c r="K186" s="375"/>
      <c r="L186" s="375"/>
      <c r="M186" s="374"/>
    </row>
    <row r="187" spans="10:13" ht="15" customHeight="1">
      <c r="J187" s="374"/>
      <c r="K187" s="375"/>
      <c r="L187" s="375"/>
      <c r="M187" s="374"/>
    </row>
    <row r="188" spans="10:13" ht="15" customHeight="1">
      <c r="J188" s="374"/>
      <c r="K188" s="375"/>
      <c r="L188" s="375"/>
      <c r="M188" s="374"/>
    </row>
    <row r="189" spans="10:13" ht="15" customHeight="1">
      <c r="J189" s="374"/>
      <c r="K189" s="375"/>
      <c r="L189" s="375"/>
      <c r="M189" s="374"/>
    </row>
    <row r="190" spans="10:13" ht="15" customHeight="1">
      <c r="J190" s="374"/>
      <c r="K190" s="375"/>
      <c r="L190" s="375"/>
      <c r="M190" s="374"/>
    </row>
    <row r="191" spans="10:13" ht="15" customHeight="1">
      <c r="J191" s="374"/>
      <c r="K191" s="375"/>
      <c r="L191" s="375"/>
      <c r="M191" s="374"/>
    </row>
    <row r="192" spans="10:13" ht="15" customHeight="1">
      <c r="J192" s="374"/>
      <c r="K192" s="375"/>
      <c r="L192" s="375"/>
      <c r="M192" s="374"/>
    </row>
    <row r="193" spans="10:13" ht="15" customHeight="1">
      <c r="J193" s="374"/>
      <c r="K193" s="375"/>
      <c r="L193" s="375"/>
      <c r="M193" s="374"/>
    </row>
    <row r="194" spans="10:13" ht="15" customHeight="1">
      <c r="J194" s="374"/>
      <c r="K194" s="375"/>
      <c r="L194" s="375"/>
      <c r="M194" s="374"/>
    </row>
    <row r="195" spans="10:13" ht="15" customHeight="1">
      <c r="J195" s="374"/>
      <c r="K195" s="375"/>
      <c r="L195" s="375"/>
      <c r="M195" s="374"/>
    </row>
    <row r="196" spans="10:13" ht="15" customHeight="1">
      <c r="J196" s="374"/>
      <c r="K196" s="375"/>
      <c r="M196" s="374"/>
    </row>
    <row r="197" spans="10:13" ht="15" customHeight="1">
      <c r="J197" s="374"/>
      <c r="K197" s="375"/>
      <c r="M197" s="374"/>
    </row>
    <row r="198" spans="10:13" ht="15" customHeight="1">
      <c r="J198" s="374"/>
      <c r="K198" s="375"/>
      <c r="M198" s="374"/>
    </row>
    <row r="199" spans="10:13" ht="15" customHeight="1">
      <c r="J199" s="374"/>
      <c r="K199" s="375"/>
      <c r="M199" s="374"/>
    </row>
    <row r="200" spans="10:13" ht="15" customHeight="1">
      <c r="J200" s="374"/>
      <c r="K200" s="375"/>
      <c r="M200" s="374"/>
    </row>
    <row r="201" spans="10:13" ht="15" customHeight="1">
      <c r="J201" s="374"/>
      <c r="K201" s="375"/>
      <c r="M201" s="374"/>
    </row>
    <row r="202" spans="10:13" ht="15" customHeight="1">
      <c r="J202" s="374"/>
      <c r="K202" s="375"/>
      <c r="M202" s="374"/>
    </row>
    <row r="203" spans="10:13" ht="15" customHeight="1">
      <c r="J203" s="374"/>
      <c r="K203" s="375"/>
      <c r="M203" s="374"/>
    </row>
    <row r="204" spans="10:13" ht="15" customHeight="1">
      <c r="J204" s="374"/>
      <c r="K204" s="375"/>
      <c r="M204" s="374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  <vt:lpstr>cálculos</vt:lpstr>
      <vt:lpstr>Balance</vt:lpstr>
      <vt:lpstr>Resultado</vt:lpstr>
      <vt:lpstr>Flujo</vt:lpstr>
      <vt:lpstr>Anualizados</vt:lpstr>
      <vt:lpstr>Valor acción</vt:lpstr>
      <vt:lpstr>'Resultados por Segmento'!_Hlk47472038</vt:lpstr>
      <vt:lpstr>cálculos!Área_de_impresión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Denisse Labarca Abdala</cp:lastModifiedBy>
  <cp:lastPrinted>2011-04-19T13:35:12Z</cp:lastPrinted>
  <dcterms:created xsi:type="dcterms:W3CDTF">2009-05-16T00:13:33Z</dcterms:created>
  <dcterms:modified xsi:type="dcterms:W3CDTF">2021-03-25T01:22:06Z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