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dlabarcaa\OneDrive\2022\Estados Financieros\Pagina web\"/>
    </mc:Choice>
  </mc:AlternateContent>
  <xr:revisionPtr revIDLastSave="0" documentId="8_{71ABEBA0-6FF2-4982-9B64-B80A1F06D85A}" xr6:coauthVersionLast="47" xr6:coauthVersionMax="47" xr10:uidLastSave="{00000000-0000-0000-0000-000000000000}"/>
  <bookViews>
    <workbookView xWindow="-108" yWindow="-108" windowWidth="23256" windowHeight="12576" tabRatio="962" activeTab="7" xr2:uid="{00000000-000D-0000-FFFF-FFFF00000000}"/>
  </bookViews>
  <sheets>
    <sheet name="Home Page AA" sheetId="5" r:id="rId1"/>
    <sheet name="Home Page IAM" sheetId="8" r:id="rId2"/>
    <sheet name=" Ultimos Resultados Aguas Andin" sheetId="1" r:id="rId3"/>
    <sheet name="Latest Results Aguas Andinas" sheetId="2" r:id="rId4"/>
    <sheet name="Estructura Deuda" sheetId="6" r:id="rId5"/>
    <sheet name="Debt Structure" sheetId="7" r:id="rId6"/>
    <sheet name=" Ultimos Resultados IAM" sheetId="3" r:id="rId7"/>
    <sheet name="Latest Results IAM" sheetId="4" r:id="rId8"/>
  </sheets>
  <externalReferences>
    <externalReference r:id="rId9"/>
    <externalReference r:id="rId10"/>
  </externalReferences>
  <definedNames>
    <definedName name="_xlnm.Print_Area" localSheetId="2">' Ultimos Resultados Aguas Andin'!#REF!</definedName>
    <definedName name="_xlnm.Print_Area" localSheetId="6">' Ultimos Resultados IAM'!#REF!</definedName>
    <definedName name="_xlnm.Print_Area" localSheetId="3">'Latest Results Aguas Andinas'!#REF!</definedName>
    <definedName name="_xlnm.Print_Area" localSheetId="7">'Latest Results IAM'!#REF!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4" l="1"/>
  <c r="D49" i="4"/>
  <c r="E49" i="4"/>
  <c r="C50" i="4"/>
  <c r="D50" i="4"/>
  <c r="E50" i="4"/>
  <c r="C52" i="4"/>
  <c r="D52" i="4"/>
  <c r="E52" i="4"/>
  <c r="C53" i="4"/>
  <c r="D53" i="4"/>
  <c r="E53" i="4"/>
  <c r="C54" i="4"/>
  <c r="D54" i="4"/>
  <c r="E54" i="4"/>
  <c r="C56" i="4"/>
  <c r="D56" i="4"/>
  <c r="E56" i="4"/>
  <c r="C57" i="4"/>
  <c r="D57" i="4"/>
  <c r="E57" i="4"/>
  <c r="C58" i="4"/>
  <c r="D58" i="4"/>
  <c r="E58" i="4"/>
  <c r="C59" i="4"/>
  <c r="D59" i="4"/>
  <c r="E59" i="4"/>
  <c r="D48" i="4"/>
  <c r="E48" i="4"/>
  <c r="C40" i="4"/>
  <c r="D40" i="4"/>
  <c r="E40" i="4"/>
  <c r="C41" i="4"/>
  <c r="D41" i="4"/>
  <c r="E41" i="4"/>
  <c r="C42" i="4"/>
  <c r="D42" i="4"/>
  <c r="E42" i="4"/>
  <c r="C43" i="4"/>
  <c r="D43" i="4"/>
  <c r="E43" i="4"/>
  <c r="D39" i="4"/>
  <c r="E39" i="4"/>
  <c r="D3" i="4"/>
  <c r="D45" i="4" s="1"/>
  <c r="C3" i="4"/>
  <c r="I21" i="3"/>
  <c r="B13" i="8"/>
  <c r="B12" i="8"/>
  <c r="B11" i="8"/>
  <c r="B6" i="8"/>
  <c r="B5" i="8"/>
  <c r="B4" i="8"/>
  <c r="U14" i="7" l="1"/>
  <c r="V14" i="7"/>
  <c r="W14" i="7"/>
  <c r="X14" i="7"/>
  <c r="U15" i="7"/>
  <c r="V15" i="7"/>
  <c r="W15" i="7"/>
  <c r="X15" i="7"/>
  <c r="U16" i="7"/>
  <c r="V16" i="7"/>
  <c r="W16" i="7"/>
  <c r="X16" i="7"/>
  <c r="U17" i="7"/>
  <c r="V17" i="7"/>
  <c r="W17" i="7"/>
  <c r="X17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B15" i="7"/>
  <c r="B16" i="7"/>
  <c r="B17" i="7"/>
  <c r="B14" i="7"/>
  <c r="D65" i="1" l="1"/>
  <c r="C65" i="1"/>
  <c r="B13" i="5"/>
  <c r="B12" i="5"/>
  <c r="B11" i="5"/>
  <c r="B6" i="5"/>
  <c r="B5" i="5"/>
  <c r="B4" i="5"/>
  <c r="B1" i="8" l="1"/>
  <c r="D73" i="1" l="1"/>
  <c r="G36" i="1"/>
  <c r="E36" i="1" s="1"/>
  <c r="G35" i="1"/>
  <c r="E35" i="1" s="1"/>
  <c r="G30" i="1"/>
  <c r="E30" i="1" s="1"/>
  <c r="G31" i="1"/>
  <c r="G32" i="1"/>
  <c r="G29" i="1"/>
  <c r="C19" i="1"/>
  <c r="F19" i="1"/>
  <c r="F26" i="1"/>
  <c r="C26" i="1"/>
  <c r="D26" i="1" s="1"/>
  <c r="G9" i="1"/>
  <c r="G5" i="1"/>
  <c r="G10" i="1"/>
  <c r="G3" i="1"/>
  <c r="G15" i="1" l="1"/>
  <c r="G4" i="1"/>
  <c r="G7" i="1"/>
  <c r="G6" i="1"/>
  <c r="G11" i="1"/>
  <c r="G12" i="1"/>
  <c r="G13" i="1"/>
  <c r="G26" i="1" l="1"/>
  <c r="G8" i="1"/>
  <c r="B43" i="7" l="1"/>
  <c r="B42" i="7"/>
  <c r="B41" i="7"/>
  <c r="B61" i="7"/>
  <c r="B60" i="7"/>
  <c r="E56" i="2" l="1"/>
  <c r="D56" i="2"/>
  <c r="C56" i="2"/>
  <c r="E55" i="2"/>
  <c r="D55" i="2"/>
  <c r="C55" i="2"/>
  <c r="E54" i="2"/>
  <c r="D54" i="2"/>
  <c r="C54" i="2"/>
  <c r="E52" i="2"/>
  <c r="D52" i="2"/>
  <c r="C52" i="2"/>
  <c r="E51" i="2"/>
  <c r="D51" i="2"/>
  <c r="C51" i="2"/>
  <c r="G25" i="2"/>
  <c r="F25" i="2"/>
  <c r="G24" i="2"/>
  <c r="F24" i="2"/>
  <c r="G23" i="2"/>
  <c r="F23" i="2"/>
  <c r="G22" i="2"/>
  <c r="F22" i="2"/>
  <c r="G21" i="2"/>
  <c r="F21" i="2"/>
  <c r="D25" i="2"/>
  <c r="C25" i="2"/>
  <c r="D24" i="2"/>
  <c r="C24" i="2"/>
  <c r="D23" i="2"/>
  <c r="C23" i="2"/>
  <c r="D22" i="2"/>
  <c r="C22" i="2"/>
  <c r="D21" i="2"/>
  <c r="C21" i="2"/>
  <c r="G14" i="2"/>
  <c r="G13" i="2"/>
  <c r="G12" i="2"/>
  <c r="G11" i="2"/>
  <c r="G10" i="2"/>
  <c r="G9" i="2"/>
  <c r="G8" i="2"/>
  <c r="G7" i="2"/>
  <c r="G6" i="2"/>
  <c r="G5" i="2"/>
  <c r="G4" i="2"/>
  <c r="E14" i="2"/>
  <c r="D14" i="2"/>
  <c r="C14" i="2"/>
  <c r="E13" i="2"/>
  <c r="D13" i="2"/>
  <c r="C13" i="2"/>
  <c r="E12" i="2"/>
  <c r="D12" i="2"/>
  <c r="C12" i="2"/>
  <c r="E11" i="2"/>
  <c r="D11" i="2"/>
  <c r="C11" i="2"/>
  <c r="D10" i="2"/>
  <c r="C10" i="2"/>
  <c r="E9" i="2"/>
  <c r="D9" i="2"/>
  <c r="C9" i="2"/>
  <c r="E8" i="2"/>
  <c r="D8" i="2"/>
  <c r="C8" i="2"/>
  <c r="E7" i="2"/>
  <c r="D7" i="2"/>
  <c r="C7" i="2"/>
  <c r="E6" i="2"/>
  <c r="D6" i="2"/>
  <c r="C6" i="2"/>
  <c r="E5" i="2"/>
  <c r="D5" i="2"/>
  <c r="C5" i="2"/>
  <c r="E4" i="2"/>
  <c r="D4" i="2"/>
  <c r="C4" i="2"/>
  <c r="E32" i="1" l="1"/>
  <c r="E31" i="1"/>
  <c r="E29" i="1"/>
  <c r="E10" i="4" l="1"/>
  <c r="D10" i="4"/>
  <c r="C10" i="4"/>
  <c r="E13" i="4"/>
  <c r="D13" i="4"/>
  <c r="C13" i="4"/>
  <c r="G13" i="4"/>
  <c r="G10" i="4"/>
  <c r="E83" i="4" l="1"/>
  <c r="D83" i="4"/>
  <c r="E82" i="4"/>
  <c r="D82" i="4"/>
  <c r="E81" i="4"/>
  <c r="D81" i="4"/>
  <c r="E80" i="4"/>
  <c r="D80" i="4"/>
  <c r="E78" i="4"/>
  <c r="D78" i="4"/>
  <c r="E77" i="4"/>
  <c r="D77" i="4"/>
  <c r="E76" i="4"/>
  <c r="D76" i="4"/>
  <c r="E75" i="4"/>
  <c r="D75" i="4"/>
  <c r="E73" i="4"/>
  <c r="D73" i="4"/>
  <c r="E72" i="4"/>
  <c r="D72" i="4"/>
  <c r="E67" i="4"/>
  <c r="D67" i="4"/>
  <c r="C67" i="4"/>
  <c r="E66" i="4"/>
  <c r="D66" i="4"/>
  <c r="C66" i="4"/>
  <c r="E65" i="4"/>
  <c r="D65" i="4"/>
  <c r="C65" i="4"/>
  <c r="E64" i="4"/>
  <c r="D64" i="4"/>
  <c r="C64" i="4"/>
  <c r="E63" i="4"/>
  <c r="D63" i="4"/>
  <c r="C63" i="4"/>
  <c r="C48" i="4"/>
  <c r="C39" i="4"/>
  <c r="G35" i="4"/>
  <c r="G34" i="4"/>
  <c r="E35" i="4"/>
  <c r="D35" i="4"/>
  <c r="C35" i="4"/>
  <c r="E34" i="4"/>
  <c r="D34" i="4"/>
  <c r="C34" i="4"/>
  <c r="G31" i="4"/>
  <c r="G30" i="4"/>
  <c r="G29" i="4"/>
  <c r="G28" i="4"/>
  <c r="E31" i="4"/>
  <c r="D31" i="4"/>
  <c r="C31" i="4"/>
  <c r="E30" i="4"/>
  <c r="D30" i="4"/>
  <c r="C30" i="4"/>
  <c r="E29" i="4"/>
  <c r="D29" i="4"/>
  <c r="C29" i="4"/>
  <c r="E28" i="4"/>
  <c r="D28" i="4"/>
  <c r="C28" i="4"/>
  <c r="G25" i="4"/>
  <c r="F25" i="4"/>
  <c r="G24" i="4"/>
  <c r="F24" i="4"/>
  <c r="G23" i="4"/>
  <c r="F23" i="4"/>
  <c r="G22" i="4"/>
  <c r="F22" i="4"/>
  <c r="G21" i="4"/>
  <c r="F21" i="4"/>
  <c r="D25" i="4"/>
  <c r="C25" i="4"/>
  <c r="D24" i="4"/>
  <c r="C24" i="4"/>
  <c r="D23" i="4"/>
  <c r="C23" i="4"/>
  <c r="D22" i="4"/>
  <c r="C22" i="4"/>
  <c r="D21" i="4"/>
  <c r="C21" i="4"/>
  <c r="E14" i="4"/>
  <c r="D14" i="4"/>
  <c r="C14" i="4"/>
  <c r="E12" i="4"/>
  <c r="D12" i="4"/>
  <c r="C12" i="4"/>
  <c r="E11" i="4"/>
  <c r="D11" i="4"/>
  <c r="C11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F18" i="4"/>
  <c r="C18" i="4"/>
  <c r="D27" i="4"/>
  <c r="C27" i="4"/>
  <c r="D33" i="4"/>
  <c r="C33" i="4"/>
  <c r="D38" i="4"/>
  <c r="C38" i="4"/>
  <c r="E70" i="4"/>
  <c r="C45" i="4"/>
  <c r="D62" i="4"/>
  <c r="C62" i="4"/>
  <c r="D70" i="4"/>
  <c r="G14" i="4"/>
  <c r="G12" i="4"/>
  <c r="G11" i="4"/>
  <c r="G9" i="4"/>
  <c r="G8" i="4"/>
  <c r="G7" i="4"/>
  <c r="G6" i="4"/>
  <c r="G5" i="4"/>
  <c r="E73" i="1"/>
  <c r="E72" i="2"/>
  <c r="D71" i="3"/>
  <c r="D63" i="3"/>
  <c r="C63" i="3"/>
  <c r="C45" i="3"/>
  <c r="D38" i="3"/>
  <c r="C38" i="3"/>
  <c r="D33" i="3"/>
  <c r="C33" i="3"/>
  <c r="D27" i="3"/>
  <c r="C27" i="3"/>
  <c r="F18" i="3"/>
  <c r="C18" i="3"/>
  <c r="E85" i="2"/>
  <c r="D85" i="2"/>
  <c r="E84" i="2"/>
  <c r="D84" i="2"/>
  <c r="E83" i="2"/>
  <c r="D83" i="2"/>
  <c r="E82" i="2"/>
  <c r="D82" i="2"/>
  <c r="E80" i="2"/>
  <c r="D80" i="2"/>
  <c r="E79" i="2"/>
  <c r="D79" i="2"/>
  <c r="E78" i="2"/>
  <c r="D78" i="2"/>
  <c r="E77" i="2"/>
  <c r="D77" i="2"/>
  <c r="E75" i="2"/>
  <c r="D75" i="2"/>
  <c r="E74" i="2"/>
  <c r="G4" i="4" l="1"/>
  <c r="D74" i="2"/>
  <c r="E69" i="2"/>
  <c r="D69" i="2"/>
  <c r="C69" i="2"/>
  <c r="E68" i="2"/>
  <c r="D68" i="2"/>
  <c r="C68" i="2"/>
  <c r="E67" i="2"/>
  <c r="D67" i="2"/>
  <c r="C67" i="2"/>
  <c r="E66" i="2"/>
  <c r="D66" i="2"/>
  <c r="C66" i="2"/>
  <c r="E65" i="2"/>
  <c r="D65" i="2"/>
  <c r="C65" i="2"/>
  <c r="E61" i="2"/>
  <c r="D61" i="2"/>
  <c r="C61" i="2"/>
  <c r="E60" i="2"/>
  <c r="D60" i="2"/>
  <c r="C60" i="2"/>
  <c r="E59" i="2"/>
  <c r="D59" i="2"/>
  <c r="C59" i="2"/>
  <c r="E58" i="2"/>
  <c r="D58" i="2"/>
  <c r="C58" i="2"/>
  <c r="E50" i="2"/>
  <c r="D50" i="2"/>
  <c r="C50" i="2"/>
  <c r="C48" i="1"/>
  <c r="D40" i="1"/>
  <c r="C40" i="1"/>
  <c r="E44" i="2"/>
  <c r="D44" i="2"/>
  <c r="C44" i="2"/>
  <c r="E43" i="2"/>
  <c r="D43" i="2"/>
  <c r="C43" i="2"/>
  <c r="E42" i="2"/>
  <c r="D42" i="2"/>
  <c r="C42" i="2"/>
  <c r="E41" i="2"/>
  <c r="D41" i="2"/>
  <c r="C41" i="2"/>
  <c r="E40" i="2"/>
  <c r="D40" i="2"/>
  <c r="C40" i="2"/>
  <c r="G35" i="2"/>
  <c r="G34" i="2"/>
  <c r="E35" i="2"/>
  <c r="D35" i="2"/>
  <c r="C35" i="2"/>
  <c r="E34" i="2"/>
  <c r="D34" i="2"/>
  <c r="C34" i="2"/>
  <c r="D34" i="1"/>
  <c r="C34" i="1"/>
  <c r="G31" i="2"/>
  <c r="G30" i="2"/>
  <c r="G29" i="2"/>
  <c r="G28" i="2"/>
  <c r="E31" i="2"/>
  <c r="D31" i="2"/>
  <c r="C31" i="2"/>
  <c r="E30" i="2"/>
  <c r="D30" i="2"/>
  <c r="C30" i="2"/>
  <c r="E29" i="2"/>
  <c r="D29" i="2"/>
  <c r="C29" i="2"/>
  <c r="E28" i="2"/>
  <c r="D28" i="2"/>
  <c r="C28" i="2"/>
  <c r="D28" i="1"/>
  <c r="C28" i="1"/>
  <c r="G3" i="2"/>
  <c r="E3" i="2"/>
  <c r="D33" i="2"/>
  <c r="C47" i="2"/>
  <c r="C39" i="2" l="1"/>
  <c r="C64" i="2"/>
  <c r="D64" i="2"/>
  <c r="D72" i="2"/>
  <c r="D39" i="2"/>
  <c r="C27" i="2"/>
  <c r="C33" i="2"/>
  <c r="C18" i="2"/>
  <c r="F18" i="2"/>
  <c r="D27" i="2"/>
  <c r="B44" i="6" l="1"/>
  <c r="D4" i="6" l="1"/>
  <c r="B62" i="7" l="1"/>
  <c r="I25" i="1" l="1"/>
  <c r="I24" i="1"/>
  <c r="I23" i="1"/>
  <c r="J25" i="2" l="1"/>
  <c r="J24" i="2"/>
  <c r="J23" i="2"/>
  <c r="J22" i="2"/>
  <c r="J21" i="2"/>
  <c r="I25" i="2"/>
  <c r="I24" i="2"/>
  <c r="I23" i="2"/>
  <c r="I22" i="2"/>
  <c r="I21" i="2"/>
  <c r="J25" i="3" l="1"/>
  <c r="J25" i="4" s="1"/>
  <c r="I25" i="3"/>
  <c r="I25" i="4" s="1"/>
  <c r="J24" i="3"/>
  <c r="J24" i="4" s="1"/>
  <c r="I24" i="3"/>
  <c r="I24" i="4" s="1"/>
  <c r="J23" i="3"/>
  <c r="J23" i="4" s="1"/>
  <c r="I23" i="3"/>
  <c r="I23" i="4" s="1"/>
  <c r="J22" i="3"/>
  <c r="J22" i="4" s="1"/>
  <c r="I22" i="3"/>
  <c r="I22" i="4" s="1"/>
  <c r="J21" i="3"/>
  <c r="J21" i="4" s="1"/>
  <c r="I21" i="4" l="1"/>
  <c r="C94" i="4"/>
  <c r="J26" i="1"/>
  <c r="I26" i="1"/>
  <c r="J25" i="1"/>
  <c r="J24" i="1"/>
  <c r="J23" i="1"/>
  <c r="J22" i="1"/>
  <c r="I22" i="1"/>
  <c r="C96" i="2" l="1"/>
  <c r="B44" i="7"/>
</calcChain>
</file>

<file path=xl/sharedStrings.xml><?xml version="1.0" encoding="utf-8"?>
<sst xmlns="http://schemas.openxmlformats.org/spreadsheetml/2006/main" count="497" uniqueCount="225">
  <si>
    <t>Resultados</t>
  </si>
  <si>
    <t>Estado de Resultados (M$)</t>
  </si>
  <si>
    <t>Ingresos Ordinarios</t>
  </si>
  <si>
    <t>Costos y Gastos de Operación</t>
  </si>
  <si>
    <t>EBITDA</t>
  </si>
  <si>
    <t>Depreciación y Amortización</t>
  </si>
  <si>
    <t>Resultado de Explotación</t>
  </si>
  <si>
    <t>Resultado Financiero*</t>
  </si>
  <si>
    <t>Gasto por impuestos</t>
  </si>
  <si>
    <t>Utilidad Neta</t>
  </si>
  <si>
    <t>Análisis de Ingresos</t>
  </si>
  <si>
    <t>Variación</t>
  </si>
  <si>
    <t>Ventas</t>
  </si>
  <si>
    <t>Participación</t>
  </si>
  <si>
    <t>M$</t>
  </si>
  <si>
    <t>%</t>
  </si>
  <si>
    <t>Agua Potable</t>
  </si>
  <si>
    <t>Aguas Servidas</t>
  </si>
  <si>
    <t>Otros Ingresos Regulados</t>
  </si>
  <si>
    <t>Ingresos No-Regulados</t>
  </si>
  <si>
    <t>Total</t>
  </si>
  <si>
    <r>
      <t>Volumen de Venta (Miles de m</t>
    </r>
    <r>
      <rPr>
        <b/>
        <vertAlign val="superscript"/>
        <sz val="9"/>
        <color rgb="FF002060"/>
        <rFont val="Arial"/>
        <family val="2"/>
      </rPr>
      <t>3</t>
    </r>
    <r>
      <rPr>
        <b/>
        <sz val="9"/>
        <color rgb="FF002060"/>
        <rFont val="Arial"/>
        <family val="2"/>
      </rPr>
      <t>)</t>
    </r>
  </si>
  <si>
    <t>% Var.</t>
  </si>
  <si>
    <t>Diferencia</t>
  </si>
  <si>
    <t xml:space="preserve">Agua Potable </t>
  </si>
  <si>
    <t>Recolección Aguas Servidas</t>
  </si>
  <si>
    <t>Tratamiento y Disposición AS</t>
  </si>
  <si>
    <t>Interconexiones*</t>
  </si>
  <si>
    <t>Clientes</t>
  </si>
  <si>
    <t>Servicios No-Sanitarios</t>
  </si>
  <si>
    <t>(M$)</t>
  </si>
  <si>
    <t>EcoRiles S.A.</t>
  </si>
  <si>
    <t>Gestión y Servicios S.A.</t>
  </si>
  <si>
    <t>Aguas del Maipo S.A.</t>
  </si>
  <si>
    <t>Productos no regulados no sanitarios</t>
  </si>
  <si>
    <t>Balance General</t>
  </si>
  <si>
    <t>Activos</t>
  </si>
  <si>
    <t>Activos corrientes</t>
  </si>
  <si>
    <t>Activos no corrientes</t>
  </si>
  <si>
    <t>Total activos</t>
  </si>
  <si>
    <t>Pasivos y patrimonio</t>
  </si>
  <si>
    <t>Pasivos corrientes</t>
  </si>
  <si>
    <t>Pasivos no corrientes</t>
  </si>
  <si>
    <t>Total pasivos</t>
  </si>
  <si>
    <t>Patrimonio atribuible a los propietarios de la controladora</t>
  </si>
  <si>
    <t>Participaciones no controladoras</t>
  </si>
  <si>
    <t>Total patrimonio</t>
  </si>
  <si>
    <t>Total pasivos y patrimonio</t>
  </si>
  <si>
    <t>Actividades de la operación</t>
  </si>
  <si>
    <t>Actividades de inversión</t>
  </si>
  <si>
    <t>Actividades de financiación</t>
  </si>
  <si>
    <t>Saldo final de efectivo</t>
  </si>
  <si>
    <t>Ratios Financieros</t>
  </si>
  <si>
    <t>Liquidez</t>
  </si>
  <si>
    <t>Liquidez corriente</t>
  </si>
  <si>
    <t>veces</t>
  </si>
  <si>
    <t>Razón ácida</t>
  </si>
  <si>
    <t>Endeudamiento</t>
  </si>
  <si>
    <t>Endeudamiento total</t>
  </si>
  <si>
    <t>Deuda corriente</t>
  </si>
  <si>
    <t>Deuda no corriente</t>
  </si>
  <si>
    <t>Cobertura gastos financieros anualizado</t>
  </si>
  <si>
    <t>Rentabilidad</t>
  </si>
  <si>
    <t>Rentabilidad del patrimonio atribuible a los propietarios de la controladora anualizado</t>
  </si>
  <si>
    <t>Rentabilidad activos anualizado</t>
  </si>
  <si>
    <t>Utilidad por acción anualizado</t>
  </si>
  <si>
    <t>$</t>
  </si>
  <si>
    <t>Retorno de dividendos (*)</t>
  </si>
  <si>
    <t>Otras Ganancias</t>
  </si>
  <si>
    <t>Estado de Flujo de Efectivo  (M$)</t>
  </si>
  <si>
    <t>Flujo neto del ejercicio</t>
  </si>
  <si>
    <t xml:space="preserve">Income  Statement </t>
  </si>
  <si>
    <t>(CLP$ thousands)</t>
  </si>
  <si>
    <t>Ordinary Revenue</t>
  </si>
  <si>
    <t>Operational Costs &amp; Expenses</t>
  </si>
  <si>
    <t>Depreciation and Amortization</t>
  </si>
  <si>
    <t>Operating Income</t>
  </si>
  <si>
    <t>Financial Results*</t>
  </si>
  <si>
    <t>Tax expenses</t>
  </si>
  <si>
    <t>Net Income</t>
  </si>
  <si>
    <t>Variation</t>
  </si>
  <si>
    <t>Sales</t>
  </si>
  <si>
    <t>Th$</t>
  </si>
  <si>
    <t>Potable Water</t>
  </si>
  <si>
    <t>Sewage</t>
  </si>
  <si>
    <t>Other Regulated Income</t>
  </si>
  <si>
    <t>Non-Regulated Income</t>
  </si>
  <si>
    <r>
      <t>Sales Volume (Thousands of m</t>
    </r>
    <r>
      <rPr>
        <b/>
        <vertAlign val="superscript"/>
        <sz val="9"/>
        <color rgb="FF002060"/>
        <rFont val="Arial"/>
        <family val="2"/>
      </rPr>
      <t>3</t>
    </r>
    <r>
      <rPr>
        <b/>
        <sz val="9"/>
        <color rgb="FF002060"/>
        <rFont val="Arial"/>
        <family val="2"/>
      </rPr>
      <t>)</t>
    </r>
  </si>
  <si>
    <t>Sewage Collection</t>
  </si>
  <si>
    <t>Sewage Treatment &amp; Disposal</t>
  </si>
  <si>
    <t>Interconnections *</t>
  </si>
  <si>
    <t>Customers</t>
  </si>
  <si>
    <t>Difference</t>
  </si>
  <si>
    <t>(CLP Th$)</t>
  </si>
  <si>
    <t>Non-regulated, non-sanitation companies</t>
  </si>
  <si>
    <t>Assets</t>
  </si>
  <si>
    <t>Current assets</t>
  </si>
  <si>
    <t>Non-current assets</t>
  </si>
  <si>
    <t>Total assets</t>
  </si>
  <si>
    <t>Liabilities and equity</t>
  </si>
  <si>
    <t>Current liabilities</t>
  </si>
  <si>
    <t>Non-current liabilities</t>
  </si>
  <si>
    <t>Total liabilities</t>
  </si>
  <si>
    <t>Shareholder’s Equity</t>
  </si>
  <si>
    <t>Minority Interest</t>
  </si>
  <si>
    <t>Total Shareholder’s Equity</t>
  </si>
  <si>
    <t>Total Liabilities &amp; Shareholder’s Equity</t>
  </si>
  <si>
    <t>Cash Flow Statement (CLP$ Th.)</t>
  </si>
  <si>
    <t>Operating activities</t>
  </si>
  <si>
    <t>Investment activities</t>
  </si>
  <si>
    <t>Financing activities</t>
  </si>
  <si>
    <t>Net flows for the period</t>
  </si>
  <si>
    <t>Closing cash balance</t>
  </si>
  <si>
    <t>Liquidity</t>
  </si>
  <si>
    <t>Current Ratio</t>
  </si>
  <si>
    <t>times</t>
  </si>
  <si>
    <t>Acid Test Ratio</t>
  </si>
  <si>
    <t>Leverage</t>
  </si>
  <si>
    <t>Total Leverage</t>
  </si>
  <si>
    <t>Current Leverage</t>
  </si>
  <si>
    <t>Long-term Leverage</t>
  </si>
  <si>
    <t>Interest Coverage Ratio</t>
  </si>
  <si>
    <t>Return</t>
  </si>
  <si>
    <t>ROE</t>
  </si>
  <si>
    <t>ROA</t>
  </si>
  <si>
    <t>Earnings Per Share</t>
  </si>
  <si>
    <t>Dividend Yield*</t>
  </si>
  <si>
    <t>Financial Ratios</t>
  </si>
  <si>
    <t>Non Sanitation Services</t>
  </si>
  <si>
    <t>Results</t>
  </si>
  <si>
    <t>Revenue Analysis</t>
  </si>
  <si>
    <t>English</t>
  </si>
  <si>
    <t>Revenues</t>
  </si>
  <si>
    <t>Spanish</t>
  </si>
  <si>
    <t>Indicadores Financieros</t>
  </si>
  <si>
    <t>Pasivos Financieros Neto</t>
  </si>
  <si>
    <t>Estructura de Deuda Financiera</t>
  </si>
  <si>
    <t>Etiquetas de fila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</si>
  <si>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</si>
  <si>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</si>
  <si>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</si>
  <si>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</si>
  <si>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</si>
  <si>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</si>
  <si>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</si>
  <si>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</si>
  <si>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</si>
  <si>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</si>
  <si>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</si>
  <si>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</si>
  <si>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</si>
  <si>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</si>
  <si>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</si>
  <si>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</si>
  <si>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</si>
  <si>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</si>
  <si>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</si>
  <si>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AFRS</t>
  </si>
  <si>
    <t>Bonos</t>
  </si>
  <si>
    <t>Instrumentos Financieros</t>
  </si>
  <si>
    <t>Instrumentos</t>
  </si>
  <si>
    <t>AFRs</t>
  </si>
  <si>
    <t>Tipo de Interés</t>
  </si>
  <si>
    <t>Tipo de Deuda</t>
  </si>
  <si>
    <t>Fija (Deuda en UF)</t>
  </si>
  <si>
    <t>Variable (Deuda en Pesos)</t>
  </si>
  <si>
    <t>Net Financial Liabilities</t>
  </si>
  <si>
    <t>Promissory Notes</t>
  </si>
  <si>
    <t>Bonds</t>
  </si>
  <si>
    <t>Bank Loans</t>
  </si>
  <si>
    <t>Financial Instruments</t>
  </si>
  <si>
    <t>Instruments</t>
  </si>
  <si>
    <t>Interest Type</t>
  </si>
  <si>
    <t>Type of Debt</t>
  </si>
  <si>
    <t>Fixed (Debt in UF)</t>
  </si>
  <si>
    <t>Variable (Debt in Pesos)</t>
  </si>
  <si>
    <t>2041</t>
  </si>
  <si>
    <t>2042</t>
  </si>
  <si>
    <t>2043</t>
  </si>
  <si>
    <t>Participation</t>
  </si>
  <si>
    <t xml:space="preserve">      % Var.</t>
  </si>
  <si>
    <t>Estados de Flujos de Efectivo (M$)</t>
  </si>
  <si>
    <t>2044</t>
  </si>
  <si>
    <t>Anam S.A.</t>
  </si>
  <si>
    <t xml:space="preserve">  2020 / 2019</t>
  </si>
  <si>
    <t xml:space="preserve">         Dec. 19</t>
  </si>
  <si>
    <t>Ingresos ordinarios</t>
  </si>
  <si>
    <t>Costos y gastos de operación</t>
  </si>
  <si>
    <t>Depreciación y amortización</t>
  </si>
  <si>
    <t>Resultado de explotación</t>
  </si>
  <si>
    <t>Otras ganancias</t>
  </si>
  <si>
    <t>Resultado financiero*</t>
  </si>
  <si>
    <t>Operaciones discontinuadas</t>
  </si>
  <si>
    <t>Utilidad neta</t>
  </si>
  <si>
    <t>Discontinued operations</t>
  </si>
  <si>
    <t>Pérdidas por deterioro de valor</t>
  </si>
  <si>
    <t>Impairment losses</t>
  </si>
  <si>
    <t xml:space="preserve">         Dic. 20</t>
  </si>
  <si>
    <t>Dividend Yield</t>
  </si>
  <si>
    <t>Retorno de dividendos</t>
  </si>
  <si>
    <t>Other Earnings</t>
  </si>
  <si>
    <t>Impairment loss</t>
  </si>
  <si>
    <t>2021 / 2020</t>
  </si>
  <si>
    <t>December 2021</t>
  </si>
  <si>
    <t xml:space="preserve">         Dic. 21</t>
  </si>
  <si>
    <t xml:space="preserve">               Dic. 20</t>
  </si>
  <si>
    <t>Interés minoritario</t>
  </si>
  <si>
    <t>&gt;200,0%</t>
  </si>
  <si>
    <t>Dec. 21</t>
  </si>
  <si>
    <t>Dec. 20</t>
  </si>
  <si>
    <t>1,65 veces</t>
  </si>
  <si>
    <t>0,18 veces</t>
  </si>
  <si>
    <t>0,82 veces</t>
  </si>
  <si>
    <t>5,32 veces</t>
  </si>
  <si>
    <t>Préstamos</t>
  </si>
  <si>
    <t>Pasivo por arrendamientos</t>
  </si>
  <si>
    <t>$992.393 millones</t>
  </si>
  <si>
    <t>$992 billon pesos</t>
  </si>
  <si>
    <t>1.65 times</t>
  </si>
  <si>
    <t>0.18 times</t>
  </si>
  <si>
    <t>0.82 times</t>
  </si>
  <si>
    <t>5.32 times</t>
  </si>
  <si>
    <t xml:space="preserve">                         - </t>
  </si>
  <si>
    <t>Total filiales</t>
  </si>
  <si>
    <t xml:space="preserve">&gt;200,0%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</si>
</sst>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#,##0\ ;\(#,##0\);\-\ ;"/>
    <numFmt numFmtId="167" formatCode="0.0%_);\(0.0%\)"/>
    <numFmt numFmtId="168" formatCode="0.0%"/>
    <numFmt numFmtId="169" formatCode="_-* #,##0.00_-;\-* #,##0.00_-;_-* &quot;-&quot;??_-;_-@_-"/>
    <numFmt numFmtId="170" formatCode="_-* #,##0_-;\-* #,##0_-;_-* &quot;-&quot;??_-;_-@_-"/>
  </numFmts>
  <fonts count="3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rgb="FF002060"/>
      <name val="Arial"/>
      <family val="2"/>
    </font>
    <font>
      <sz val="10"/>
      <color rgb="FF002060"/>
      <name val="Tahoma"/>
      <family val="2"/>
    </font>
    <font>
      <sz val="10"/>
      <name val="Arial"/>
      <family val="2"/>
    </font>
    <font>
      <b/>
      <sz val="9"/>
      <color rgb="FF002060"/>
      <name val="Arial"/>
      <family val="2"/>
    </font>
    <font>
      <sz val="10"/>
      <name val="Times New Roman"/>
      <family val="1"/>
    </font>
    <font>
      <sz val="9"/>
      <color rgb="FF002060"/>
      <name val="Arial"/>
      <family val="2"/>
    </font>
    <font>
      <sz val="11"/>
      <color rgb="FF002060"/>
      <name val="Calibri"/>
      <family val="2"/>
    </font>
    <font>
      <sz val="12"/>
      <name val="Times New Roman"/>
      <family val="1"/>
    </font>
    <font>
      <b/>
      <vertAlign val="superscript"/>
      <sz val="9"/>
      <color rgb="FF002060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sz val="10"/>
      <name val="Tahoma"/>
      <family val="2"/>
    </font>
    <font>
      <b/>
      <sz val="9"/>
      <name val="Arial"/>
      <family val="2"/>
    </font>
    <font>
      <sz val="10"/>
      <color rgb="FFFF0000"/>
      <name val="Tahoma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10"/>
      <name val="Arial"/>
      <family val="2"/>
    </font>
    <font>
      <sz val="8"/>
      <color theme="0"/>
      <name val="Arial"/>
      <family val="2"/>
    </font>
    <font>
      <sz val="9"/>
      <color rgb="FF44546A"/>
      <name val="Calibri"/>
      <family val="2"/>
    </font>
    <font>
      <sz val="9"/>
      <color rgb="FF44546A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9"/>
      <color rgb="FF44546A"/>
      <name val="Calibri"/>
      <family val="2"/>
    </font>
    <font>
      <b/>
      <sz val="10"/>
      <color rgb="FF44546A"/>
      <name val="Calibri"/>
      <family val="2"/>
      <scheme val="minor"/>
    </font>
    <font>
      <sz val="8"/>
      <color rgb="FF44546A"/>
      <name val="Calibri"/>
      <family val="2"/>
      <scheme val="minor"/>
    </font>
    <font>
      <sz val="8"/>
      <name val="Arial"/>
      <family val="2"/>
    </font>
    <font>
      <b/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rgb="FF002060"/>
      </bottom>
      <diagonal/>
    </border>
  </borders>
  <cellStyleXfs count="8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01">
    <xf numFmtId="0" fontId="0" fillId="0" borderId="0" xfId="0"/>
    <xf numFmtId="0" fontId="3" fillId="0" borderId="0" xfId="1" applyFont="1" applyAlignment="1">
      <alignment horizontal="left" indent="2"/>
    </xf>
    <xf numFmtId="0" fontId="4" fillId="0" borderId="0" xfId="1" applyFont="1"/>
    <xf numFmtId="0" fontId="4" fillId="0" borderId="0" xfId="1" applyFont="1" applyFill="1"/>
    <xf numFmtId="0" fontId="6" fillId="0" borderId="1" xfId="0" applyFont="1" applyBorder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165" fontId="4" fillId="0" borderId="0" xfId="2" applyNumberFormat="1" applyFont="1" applyAlignment="1">
      <alignment vertical="center"/>
    </xf>
    <xf numFmtId="0" fontId="8" fillId="0" borderId="0" xfId="1" applyFont="1"/>
    <xf numFmtId="3" fontId="8" fillId="0" borderId="0" xfId="1" applyNumberFormat="1" applyFont="1" applyAlignment="1">
      <alignment horizontal="right"/>
    </xf>
    <xf numFmtId="10" fontId="8" fillId="0" borderId="0" xfId="1" applyNumberFormat="1" applyFont="1" applyAlignment="1">
      <alignment horizontal="right"/>
    </xf>
    <xf numFmtId="0" fontId="9" fillId="0" borderId="0" xfId="1" applyFont="1"/>
    <xf numFmtId="0" fontId="10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horizontal="right" vertical="center"/>
    </xf>
    <xf numFmtId="0" fontId="12" fillId="0" borderId="0" xfId="1" applyFont="1"/>
    <xf numFmtId="0" fontId="6" fillId="0" borderId="5" xfId="0" applyFont="1" applyBorder="1" applyAlignment="1">
      <alignment vertical="center"/>
    </xf>
    <xf numFmtId="3" fontId="4" fillId="0" borderId="0" xfId="1" applyNumberFormat="1" applyFont="1"/>
    <xf numFmtId="3" fontId="12" fillId="0" borderId="0" xfId="1" applyNumberFormat="1" applyFont="1"/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2" fillId="0" borderId="0" xfId="0" applyFont="1"/>
    <xf numFmtId="0" fontId="4" fillId="0" borderId="0" xfId="0" applyFont="1"/>
    <xf numFmtId="0" fontId="3" fillId="0" borderId="0" xfId="0" applyFont="1" applyAlignment="1">
      <alignment horizontal="justify"/>
    </xf>
    <xf numFmtId="3" fontId="14" fillId="0" borderId="0" xfId="0" applyNumberFormat="1" applyFont="1"/>
    <xf numFmtId="3" fontId="4" fillId="0" borderId="0" xfId="0" applyNumberFormat="1" applyFont="1"/>
    <xf numFmtId="166" fontId="15" fillId="0" borderId="0" xfId="0" applyNumberFormat="1" applyFont="1" applyAlignment="1">
      <alignment horizontal="right" vertical="center"/>
    </xf>
    <xf numFmtId="3" fontId="16" fillId="0" borderId="0" xfId="0" applyNumberFormat="1" applyFont="1"/>
    <xf numFmtId="3" fontId="6" fillId="0" borderId="0" xfId="0" applyNumberFormat="1" applyFont="1"/>
    <xf numFmtId="0" fontId="8" fillId="0" borderId="1" xfId="0" applyFont="1" applyBorder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Fill="1"/>
    <xf numFmtId="0" fontId="4" fillId="0" borderId="0" xfId="0" applyFont="1" applyAlignment="1">
      <alignment vertical="center"/>
    </xf>
    <xf numFmtId="0" fontId="8" fillId="0" borderId="0" xfId="0" applyFont="1"/>
    <xf numFmtId="3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0" fontId="9" fillId="0" borderId="0" xfId="0" applyFont="1"/>
    <xf numFmtId="3" fontId="16" fillId="0" borderId="0" xfId="0" applyNumberFormat="1" applyFont="1" applyAlignment="1">
      <alignment vertical="center"/>
    </xf>
    <xf numFmtId="0" fontId="18" fillId="0" borderId="0" xfId="0" applyFont="1"/>
    <xf numFmtId="0" fontId="19" fillId="0" borderId="1" xfId="0" applyFont="1" applyBorder="1" applyAlignment="1">
      <alignment horizontal="center" vertical="center"/>
    </xf>
    <xf numFmtId="166" fontId="20" fillId="0" borderId="0" xfId="0" applyNumberFormat="1" applyFont="1" applyAlignment="1">
      <alignment horizontal="right" vertical="center"/>
    </xf>
    <xf numFmtId="167" fontId="20" fillId="0" borderId="0" xfId="0" applyNumberFormat="1" applyFont="1" applyAlignment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167" fontId="19" fillId="0" borderId="0" xfId="0" applyNumberFormat="1" applyFont="1" applyAlignment="1">
      <alignment horizontal="right" vertical="center"/>
    </xf>
    <xf numFmtId="0" fontId="17" fillId="0" borderId="0" xfId="0" applyFont="1"/>
    <xf numFmtId="167" fontId="20" fillId="0" borderId="0" xfId="0" applyNumberFormat="1" applyFont="1" applyFill="1" applyAlignment="1">
      <alignment horizontal="right" vertical="center"/>
    </xf>
    <xf numFmtId="166" fontId="20" fillId="0" borderId="0" xfId="0" applyNumberFormat="1" applyFont="1" applyFill="1" applyAlignment="1">
      <alignment horizontal="right" vertical="center"/>
    </xf>
    <xf numFmtId="0" fontId="18" fillId="0" borderId="0" xfId="0" applyFont="1" applyFill="1"/>
    <xf numFmtId="0" fontId="19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right" vertical="center"/>
    </xf>
    <xf numFmtId="3" fontId="21" fillId="0" borderId="4" xfId="0" applyNumberFormat="1" applyFont="1" applyBorder="1" applyAlignment="1">
      <alignment horizontal="right" vertical="center"/>
    </xf>
    <xf numFmtId="167" fontId="20" fillId="0" borderId="4" xfId="0" applyNumberFormat="1" applyFont="1" applyBorder="1" applyAlignment="1">
      <alignment horizontal="right" vertical="center"/>
    </xf>
    <xf numFmtId="166" fontId="20" fillId="0" borderId="4" xfId="0" applyNumberFormat="1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9" fillId="0" borderId="5" xfId="0" applyFont="1" applyBorder="1" applyAlignment="1">
      <alignment horizontal="center" vertical="center"/>
    </xf>
    <xf numFmtId="3" fontId="19" fillId="0" borderId="0" xfId="0" applyNumberFormat="1" applyFont="1" applyAlignment="1">
      <alignment horizontal="right" vertical="center"/>
    </xf>
    <xf numFmtId="168" fontId="19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167" fontId="18" fillId="0" borderId="0" xfId="0" applyNumberFormat="1" applyFont="1"/>
    <xf numFmtId="167" fontId="20" fillId="0" borderId="0" xfId="0" applyNumberFormat="1" applyFont="1" applyFill="1" applyAlignment="1">
      <alignment horizontal="center" vertical="center"/>
    </xf>
    <xf numFmtId="167" fontId="20" fillId="0" borderId="0" xfId="0" applyNumberFormat="1" applyFont="1" applyAlignment="1">
      <alignment horizontal="center" vertical="center"/>
    </xf>
    <xf numFmtId="167" fontId="19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center"/>
    </xf>
    <xf numFmtId="2" fontId="20" fillId="0" borderId="0" xfId="0" applyNumberFormat="1" applyFont="1" applyAlignment="1">
      <alignment horizontal="right" vertical="center"/>
    </xf>
    <xf numFmtId="2" fontId="18" fillId="0" borderId="0" xfId="0" applyNumberFormat="1" applyFont="1" applyAlignment="1">
      <alignment vertical="center"/>
    </xf>
    <xf numFmtId="0" fontId="22" fillId="0" borderId="0" xfId="0" applyFont="1"/>
    <xf numFmtId="10" fontId="0" fillId="0" borderId="0" xfId="4" applyNumberFormat="1" applyFont="1" applyAlignment="1">
      <alignment horizontal="right"/>
    </xf>
    <xf numFmtId="9" fontId="0" fillId="0" borderId="0" xfId="4" applyFont="1"/>
    <xf numFmtId="170" fontId="0" fillId="0" borderId="0" xfId="5" applyNumberFormat="1" applyFont="1"/>
    <xf numFmtId="0" fontId="0" fillId="0" borderId="0" xfId="0" applyAlignment="1">
      <alignment horizontal="center" vertical="center"/>
    </xf>
    <xf numFmtId="10" fontId="0" fillId="0" borderId="0" xfId="4" applyNumberFormat="1" applyFont="1"/>
    <xf numFmtId="9" fontId="0" fillId="0" borderId="0" xfId="4" applyNumberFormat="1" applyFont="1"/>
    <xf numFmtId="170" fontId="0" fillId="0" borderId="0" xfId="5" applyNumberFormat="1" applyFont="1" applyAlignment="1">
      <alignment wrapText="1"/>
    </xf>
    <xf numFmtId="41" fontId="22" fillId="0" borderId="0" xfId="0" applyNumberFormat="1" applyFont="1"/>
    <xf numFmtId="41" fontId="0" fillId="0" borderId="0" xfId="0" applyNumberFormat="1"/>
    <xf numFmtId="0" fontId="0" fillId="0" borderId="0" xfId="0" quotePrefix="1"/>
    <xf numFmtId="0" fontId="19" fillId="0" borderId="1" xfId="0" applyFont="1" applyBorder="1" applyAlignment="1">
      <alignment horizontal="center" vertical="center"/>
    </xf>
    <xf numFmtId="41" fontId="23" fillId="0" borderId="0" xfId="3" applyFont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4" fontId="4" fillId="0" borderId="0" xfId="1" applyNumberFormat="1" applyFont="1"/>
    <xf numFmtId="3" fontId="24" fillId="0" borderId="0" xfId="0" applyNumberFormat="1" applyFont="1" applyAlignment="1">
      <alignment horizontal="right" vertical="center"/>
    </xf>
    <xf numFmtId="167" fontId="25" fillId="0" borderId="0" xfId="0" applyNumberFormat="1" applyFont="1" applyAlignment="1">
      <alignment horizontal="right" vertical="center"/>
    </xf>
    <xf numFmtId="0" fontId="0" fillId="0" borderId="0" xfId="0" applyAlignment="1">
      <alignment horizontal="center"/>
    </xf>
    <xf numFmtId="3" fontId="0" fillId="0" borderId="0" xfId="3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/>
    <xf numFmtId="41" fontId="24" fillId="0" borderId="0" xfId="3" applyFont="1" applyAlignment="1">
      <alignment horizontal="right" vertical="center"/>
    </xf>
    <xf numFmtId="166" fontId="25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41" fontId="28" fillId="0" borderId="0" xfId="3" applyFont="1" applyAlignment="1">
      <alignment horizontal="right" vertical="center"/>
    </xf>
    <xf numFmtId="167" fontId="26" fillId="0" borderId="0" xfId="0" applyNumberFormat="1" applyFont="1" applyAlignment="1">
      <alignment horizontal="right" vertical="center"/>
    </xf>
    <xf numFmtId="0" fontId="29" fillId="0" borderId="0" xfId="0" applyFont="1"/>
    <xf numFmtId="166" fontId="26" fillId="0" borderId="0" xfId="0" applyNumberFormat="1" applyFont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right" vertical="center"/>
    </xf>
    <xf numFmtId="0" fontId="24" fillId="0" borderId="0" xfId="0" applyFont="1" applyAlignment="1">
      <alignment horizontal="right"/>
    </xf>
    <xf numFmtId="3" fontId="24" fillId="0" borderId="4" xfId="0" applyNumberFormat="1" applyFont="1" applyBorder="1" applyAlignment="1">
      <alignment horizontal="right" vertical="center"/>
    </xf>
    <xf numFmtId="3" fontId="28" fillId="0" borderId="0" xfId="0" applyNumberFormat="1" applyFont="1" applyAlignment="1">
      <alignment horizontal="right" vertical="center"/>
    </xf>
    <xf numFmtId="168" fontId="28" fillId="0" borderId="0" xfId="0" applyNumberFormat="1" applyFont="1" applyAlignment="1">
      <alignment horizontal="right" vertical="center"/>
    </xf>
    <xf numFmtId="0" fontId="8" fillId="2" borderId="0" xfId="1" applyFont="1" applyFill="1"/>
    <xf numFmtId="3" fontId="8" fillId="2" borderId="0" xfId="1" applyNumberFormat="1" applyFont="1" applyFill="1" applyAlignment="1">
      <alignment horizontal="right"/>
    </xf>
    <xf numFmtId="10" fontId="8" fillId="2" borderId="0" xfId="1" applyNumberFormat="1" applyFont="1" applyFill="1" applyAlignment="1">
      <alignment horizontal="right"/>
    </xf>
    <xf numFmtId="0" fontId="9" fillId="2" borderId="0" xfId="1" applyFont="1" applyFill="1"/>
    <xf numFmtId="0" fontId="4" fillId="2" borderId="0" xfId="1" applyFont="1" applyFill="1" applyAlignment="1">
      <alignment vertical="center"/>
    </xf>
    <xf numFmtId="0" fontId="7" fillId="2" borderId="0" xfId="0" applyFont="1" applyFill="1"/>
    <xf numFmtId="0" fontId="18" fillId="2" borderId="0" xfId="0" applyFont="1" applyFill="1"/>
    <xf numFmtId="0" fontId="19" fillId="2" borderId="0" xfId="0" applyFont="1" applyFill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3" fontId="24" fillId="2" borderId="0" xfId="0" applyNumberFormat="1" applyFont="1" applyFill="1" applyAlignment="1">
      <alignment horizontal="right" vertical="center"/>
    </xf>
    <xf numFmtId="168" fontId="24" fillId="2" borderId="0" xfId="0" applyNumberFormat="1" applyFont="1" applyFill="1" applyAlignment="1">
      <alignment horizontal="right" vertical="center"/>
    </xf>
    <xf numFmtId="0" fontId="27" fillId="2" borderId="0" xfId="0" applyFont="1" applyFill="1"/>
    <xf numFmtId="166" fontId="20" fillId="2" borderId="0" xfId="0" applyNumberFormat="1" applyFont="1" applyFill="1" applyAlignment="1">
      <alignment horizontal="right" vertical="center"/>
    </xf>
    <xf numFmtId="167" fontId="20" fillId="2" borderId="0" xfId="0" applyNumberFormat="1" applyFont="1" applyFill="1" applyAlignment="1">
      <alignment horizontal="right" vertical="center"/>
    </xf>
    <xf numFmtId="167" fontId="25" fillId="2" borderId="0" xfId="0" applyNumberFormat="1" applyFont="1" applyFill="1" applyAlignment="1">
      <alignment horizontal="right" vertical="center"/>
    </xf>
    <xf numFmtId="3" fontId="24" fillId="2" borderId="4" xfId="0" applyNumberFormat="1" applyFont="1" applyFill="1" applyBorder="1" applyAlignment="1">
      <alignment horizontal="right" vertical="center"/>
    </xf>
    <xf numFmtId="168" fontId="24" fillId="2" borderId="4" xfId="0" applyNumberFormat="1" applyFont="1" applyFill="1" applyBorder="1" applyAlignment="1">
      <alignment horizontal="right" vertical="center"/>
    </xf>
    <xf numFmtId="166" fontId="20" fillId="2" borderId="4" xfId="0" applyNumberFormat="1" applyFont="1" applyFill="1" applyBorder="1" applyAlignment="1">
      <alignment horizontal="right" vertical="center"/>
    </xf>
    <xf numFmtId="167" fontId="20" fillId="2" borderId="4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vertical="center"/>
    </xf>
    <xf numFmtId="3" fontId="28" fillId="2" borderId="0" xfId="0" applyNumberFormat="1" applyFont="1" applyFill="1" applyAlignment="1">
      <alignment horizontal="right" vertical="center"/>
    </xf>
    <xf numFmtId="168" fontId="28" fillId="2" borderId="0" xfId="0" applyNumberFormat="1" applyFont="1" applyFill="1" applyAlignment="1">
      <alignment horizontal="right" vertical="center"/>
    </xf>
    <xf numFmtId="166" fontId="19" fillId="2" borderId="0" xfId="0" applyNumberFormat="1" applyFont="1" applyFill="1" applyAlignment="1">
      <alignment horizontal="right" vertical="center"/>
    </xf>
    <xf numFmtId="167" fontId="19" fillId="2" borderId="0" xfId="0" applyNumberFormat="1" applyFont="1" applyFill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165" fontId="4" fillId="2" borderId="0" xfId="2" applyNumberFormat="1" applyFont="1" applyFill="1" applyAlignment="1">
      <alignment vertical="center"/>
    </xf>
    <xf numFmtId="0" fontId="20" fillId="2" borderId="0" xfId="0" applyFont="1" applyFill="1" applyAlignment="1">
      <alignment horizontal="right" vertical="center"/>
    </xf>
    <xf numFmtId="0" fontId="4" fillId="2" borderId="0" xfId="1" applyFont="1" applyFill="1"/>
    <xf numFmtId="3" fontId="21" fillId="2" borderId="0" xfId="0" applyNumberFormat="1" applyFont="1" applyFill="1" applyAlignment="1">
      <alignment horizontal="right" vertical="center"/>
    </xf>
    <xf numFmtId="0" fontId="12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justify"/>
    </xf>
    <xf numFmtId="0" fontId="6" fillId="2" borderId="5" xfId="0" applyFont="1" applyFill="1" applyBorder="1" applyAlignment="1">
      <alignment vertical="center"/>
    </xf>
    <xf numFmtId="0" fontId="19" fillId="2" borderId="5" xfId="0" applyFont="1" applyFill="1" applyBorder="1" applyAlignment="1">
      <alignment horizontal="center" vertical="center"/>
    </xf>
    <xf numFmtId="3" fontId="14" fillId="2" borderId="0" xfId="0" applyNumberFormat="1" applyFont="1" applyFill="1"/>
    <xf numFmtId="3" fontId="4" fillId="2" borderId="0" xfId="0" applyNumberFormat="1" applyFont="1" applyFill="1"/>
    <xf numFmtId="3" fontId="19" fillId="2" borderId="0" xfId="0" applyNumberFormat="1" applyFont="1" applyFill="1" applyAlignment="1">
      <alignment horizontal="right" vertical="center"/>
    </xf>
    <xf numFmtId="166" fontId="15" fillId="2" borderId="0" xfId="0" applyNumberFormat="1" applyFont="1" applyFill="1" applyAlignment="1">
      <alignment horizontal="right" vertical="center"/>
    </xf>
    <xf numFmtId="3" fontId="16" fillId="2" borderId="0" xfId="0" applyNumberFormat="1" applyFont="1" applyFill="1"/>
    <xf numFmtId="3" fontId="6" fillId="2" borderId="0" xfId="0" applyNumberFormat="1" applyFont="1" applyFill="1"/>
    <xf numFmtId="167" fontId="20" fillId="2" borderId="0" xfId="0" applyNumberFormat="1" applyFont="1" applyFill="1" applyAlignment="1">
      <alignment horizontal="center" vertical="center"/>
    </xf>
    <xf numFmtId="167" fontId="19" fillId="2" borderId="0" xfId="0" applyNumberFormat="1" applyFont="1" applyFill="1" applyAlignment="1">
      <alignment horizontal="center" vertical="center"/>
    </xf>
    <xf numFmtId="0" fontId="12" fillId="2" borderId="0" xfId="1" applyFont="1" applyFill="1"/>
    <xf numFmtId="3" fontId="12" fillId="2" borderId="0" xfId="1" applyNumberFormat="1" applyFont="1" applyFill="1"/>
    <xf numFmtId="3" fontId="4" fillId="2" borderId="0" xfId="1" applyNumberFormat="1" applyFont="1" applyFill="1"/>
    <xf numFmtId="0" fontId="2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3" fontId="20" fillId="2" borderId="0" xfId="0" applyNumberFormat="1" applyFont="1" applyFill="1" applyAlignment="1">
      <alignment horizontal="right" vertical="center"/>
    </xf>
    <xf numFmtId="167" fontId="18" fillId="2" borderId="0" xfId="0" applyNumberFormat="1" applyFont="1" applyFill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2" fontId="20" fillId="2" borderId="0" xfId="0" applyNumberFormat="1" applyFont="1" applyFill="1" applyAlignment="1">
      <alignment horizontal="right" vertical="center"/>
    </xf>
    <xf numFmtId="2" fontId="1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9" fontId="30" fillId="0" borderId="0" xfId="7" applyFont="1" applyFill="1"/>
    <xf numFmtId="0" fontId="0" fillId="2" borderId="0" xfId="0" applyFill="1"/>
    <xf numFmtId="0" fontId="0" fillId="2" borderId="0" xfId="0" applyFill="1" applyAlignment="1">
      <alignment vertical="center"/>
    </xf>
    <xf numFmtId="0" fontId="22" fillId="2" borderId="0" xfId="0" applyFont="1" applyFill="1"/>
    <xf numFmtId="3" fontId="8" fillId="2" borderId="0" xfId="0" applyNumberFormat="1" applyFont="1" applyFill="1" applyAlignment="1">
      <alignment horizontal="right" vertical="center"/>
    </xf>
    <xf numFmtId="10" fontId="0" fillId="2" borderId="0" xfId="4" applyNumberFormat="1" applyFont="1" applyFill="1" applyAlignment="1">
      <alignment horizontal="right"/>
    </xf>
    <xf numFmtId="168" fontId="30" fillId="0" borderId="0" xfId="7" applyNumberFormat="1" applyFont="1" applyFill="1"/>
    <xf numFmtId="10" fontId="24" fillId="0" borderId="0" xfId="0" applyNumberFormat="1" applyFont="1" applyAlignment="1">
      <alignment horizontal="right" vertical="center"/>
    </xf>
    <xf numFmtId="10" fontId="28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10" fontId="24" fillId="0" borderId="4" xfId="0" applyNumberFormat="1" applyFont="1" applyBorder="1" applyAlignment="1">
      <alignment horizontal="right" vertical="center"/>
    </xf>
    <xf numFmtId="3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3" fontId="32" fillId="0" borderId="0" xfId="0" applyNumberFormat="1" applyFont="1" applyAlignment="1">
      <alignment horizontal="right" vertical="center"/>
    </xf>
    <xf numFmtId="168" fontId="20" fillId="0" borderId="0" xfId="7" applyNumberFormat="1" applyFont="1" applyAlignment="1">
      <alignment horizontal="right" vertical="center"/>
    </xf>
    <xf numFmtId="168" fontId="19" fillId="0" borderId="0" xfId="7" applyNumberFormat="1" applyFont="1" applyAlignment="1">
      <alignment horizontal="right" vertical="center"/>
    </xf>
    <xf numFmtId="0" fontId="19" fillId="2" borderId="0" xfId="0" applyFont="1" applyFill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</cellXfs>
  <cellStyles count="8">
    <cellStyle name="Millares [0]" xfId="3" builtinId="6"/>
    <cellStyle name="Millares 2" xfId="2" xr:uid="{00000000-0005-0000-0000-000001000000}"/>
    <cellStyle name="Millares 3" xfId="5" xr:uid="{00000000-0005-0000-0000-000002000000}"/>
    <cellStyle name="Normal" xfId="0" builtinId="0"/>
    <cellStyle name="Normal 2" xfId="1" xr:uid="{00000000-0005-0000-0000-000004000000}"/>
    <cellStyle name="Normal 3 2" xfId="6" xr:uid="{00000000-0005-0000-0000-000005000000}"/>
    <cellStyle name="Porcentaje" xfId="7" builtinId="5"/>
    <cellStyle name="Porcentaje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Estructura de Deuda Financiera</a:t>
            </a:r>
            <a:r>
              <a:rPr lang="en-US" baseline="0"/>
              <a:t> al 31 de diciembre 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'Estructura Deuda'!$A$14</c:f>
              <c:strCache>
                <c:ptCount val="1"/>
                <c:pt idx="0">
                  <c:v>AFRS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'Estructura Deuda'!$B$13:$X$13</c:f>
              <c:strCache>
                <c:ptCount val="2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</c:strCache>
            </c:strRef>
          </c:cat>
          <c:val>
            <c:numRef>
              <c:f>'Estructura Deuda'!$B$14:$X$14</c:f>
              <c:numCache>
                <c:formatCode>#,##0</c:formatCode>
                <c:ptCount val="23"/>
                <c:pt idx="0">
                  <c:v>33437.768319893337</c:v>
                </c:pt>
                <c:pt idx="1">
                  <c:v>22754.410246985844</c:v>
                </c:pt>
                <c:pt idx="2">
                  <c:v>21326.056084071472</c:v>
                </c:pt>
                <c:pt idx="3">
                  <c:v>15810.939000741839</c:v>
                </c:pt>
                <c:pt idx="4">
                  <c:v>16305.372797146896</c:v>
                </c:pt>
                <c:pt idx="5">
                  <c:v>14494.783397062563</c:v>
                </c:pt>
                <c:pt idx="6">
                  <c:v>15048.545934345673</c:v>
                </c:pt>
                <c:pt idx="7">
                  <c:v>13159.007122066172</c:v>
                </c:pt>
                <c:pt idx="8">
                  <c:v>9435.6523004692717</c:v>
                </c:pt>
                <c:pt idx="9">
                  <c:v>12823.974446755357</c:v>
                </c:pt>
                <c:pt idx="10">
                  <c:v>4028.6762637036795</c:v>
                </c:pt>
                <c:pt idx="11">
                  <c:v>3492.5084016814694</c:v>
                </c:pt>
                <c:pt idx="12">
                  <c:v>6608.7129346090724</c:v>
                </c:pt>
                <c:pt idx="13">
                  <c:v>4164.0997824815231</c:v>
                </c:pt>
                <c:pt idx="14">
                  <c:v>4732.4298926268311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0-4128-83BD-DA8046A3FF62}"/>
            </c:ext>
          </c:extLst>
        </c:ser>
        <c:ser>
          <c:idx val="1"/>
          <c:order val="1"/>
          <c:tx>
            <c:strRef>
              <c:f>'Estructura Deuda'!$A$15</c:f>
              <c:strCache>
                <c:ptCount val="1"/>
                <c:pt idx="0">
                  <c:v>Bonds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'Estructura Deuda'!$B$13:$X$13</c:f>
              <c:strCache>
                <c:ptCount val="2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</c:strCache>
            </c:strRef>
          </c:cat>
          <c:val>
            <c:numRef>
              <c:f>'Estructura Deuda'!$B$15:$X$15</c:f>
              <c:numCache>
                <c:formatCode>#,##0</c:formatCode>
                <c:ptCount val="23"/>
                <c:pt idx="0">
                  <c:v>19369.837500000001</c:v>
                </c:pt>
                <c:pt idx="1">
                  <c:v>15495.87</c:v>
                </c:pt>
                <c:pt idx="2">
                  <c:v>11621.9025</c:v>
                </c:pt>
                <c:pt idx="3">
                  <c:v>5810.9512500000001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54235.544999999998</c:v>
                </c:pt>
                <c:pt idx="10">
                  <c:v>51136.370999999999</c:v>
                </c:pt>
                <c:pt idx="11">
                  <c:v>64307.860499999995</c:v>
                </c:pt>
                <c:pt idx="12">
                  <c:v>47520.667999999998</c:v>
                </c:pt>
                <c:pt idx="13">
                  <c:v>41580.584499999997</c:v>
                </c:pt>
                <c:pt idx="14">
                  <c:v>85743.813999999998</c:v>
                </c:pt>
                <c:pt idx="15">
                  <c:v>73863.646999999997</c:v>
                </c:pt>
                <c:pt idx="16">
                  <c:v>65082.654000000002</c:v>
                </c:pt>
                <c:pt idx="17">
                  <c:v>30991.74</c:v>
                </c:pt>
                <c:pt idx="18">
                  <c:v>15495.87</c:v>
                </c:pt>
                <c:pt idx="19">
                  <c:v>15495.87</c:v>
                </c:pt>
                <c:pt idx="20">
                  <c:v>46487.61</c:v>
                </c:pt>
                <c:pt idx="21">
                  <c:v>46487.61</c:v>
                </c:pt>
                <c:pt idx="22">
                  <c:v>15495.87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0-4128-83BD-DA8046A3FF62}"/>
            </c:ext>
          </c:extLst>
        </c:ser>
        <c:ser>
          <c:idx val="2"/>
          <c:order val="2"/>
          <c:tx>
            <c:strRef>
              <c:f>'Estructura Deuda'!$A$16</c:f>
              <c:strCache>
                <c:ptCount val="1"/>
                <c:pt idx="0">
                  <c:v>Bank Loans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'Estructura Deuda'!$B$13:$X$13</c:f>
              <c:strCache>
                <c:ptCount val="2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</c:strCache>
            </c:strRef>
          </c:cat>
          <c:val>
            <c:numRef>
              <c:f>'Estructura Deuda'!$B$16:$X$16</c:f>
              <c:numCache>
                <c:formatCode>#,##0</c:formatCode>
                <c:ptCount val="23"/>
                <c:pt idx="0">
                  <c:v>8849.780999999999</c:v>
                </c:pt>
                <c:pt idx="1">
                  <c:v>19349.780999999999</c:v>
                </c:pt>
                <c:pt idx="2">
                  <c:v>103849.781</c:v>
                </c:pt>
                <c:pt idx="3">
                  <c:v>67224.890500000009</c:v>
                </c:pt>
                <c:pt idx="4">
                  <c:v>39270.304000000004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87-4C6D-8BDE-8077B58D3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7191320"/>
        <c:axId val="937191712"/>
        <c:axId val="0"/>
      </c:bar3DChart>
      <c:catAx>
        <c:axId val="937191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37191712"/>
        <c:crosses val="autoZero"/>
        <c:auto val="1"/>
        <c:lblAlgn val="ctr"/>
        <c:lblOffset val="100"/>
        <c:noMultiLvlLbl val="0"/>
      </c:catAx>
      <c:valAx>
        <c:axId val="9371917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37191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Instrumentos Financieros al </a:t>
            </a:r>
          </a:p>
          <a:p>
            <a:pPr>
              <a:defRPr/>
            </a:pPr>
            <a:r>
              <a:rPr lang="en-US" sz="1400" b="0" i="0" u="none" strike="noStrike" baseline="0">
                <a:effectLst/>
              </a:rPr>
              <a:t>31 de diciembre 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EE-4594-A6AF-C5F734A14FD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EE-4594-A6AF-C5F734A14FD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EE-4594-A6AF-C5F734A14FD5}"/>
              </c:ext>
            </c:extLst>
          </c:dPt>
          <c:cat>
            <c:strRef>
              <c:f>'Estructura Deuda'!$A$40:$A$42</c:f>
              <c:strCache>
                <c:ptCount val="3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</c:strCache>
            </c:strRef>
          </c:cat>
          <c:val>
            <c:numRef>
              <c:f>'Estructura Deuda'!$B$40:$B$42</c:f>
              <c:numCache>
                <c:formatCode>0%</c:formatCode>
                <c:ptCount val="3"/>
                <c:pt idx="0">
                  <c:v>0.17199999999999999</c:v>
                </c:pt>
                <c:pt idx="1">
                  <c:v>0.61899999999999999</c:v>
                </c:pt>
                <c:pt idx="2">
                  <c:v>0.20699999999999999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EE-4594-A6AF-C5F734A14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Tipo</a:t>
            </a:r>
            <a:r>
              <a:rPr lang="en-US" sz="1400" baseline="0"/>
              <a:t> de Interés al </a:t>
            </a:r>
            <a:br>
              <a:rPr lang="en-US" sz="1400" baseline="0"/>
            </a:br>
            <a:r>
              <a:rPr lang="en-US" sz="1400" b="0" i="0" u="none" strike="noStrike" baseline="0">
                <a:effectLst/>
              </a:rPr>
              <a:t>31 de diciembre 2021</a:t>
            </a:r>
            <a:endParaRPr lang="es-CL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063-42EA-9C9A-024D82B69A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063-42EA-9C9A-024D82B69A5B}"/>
              </c:ext>
            </c:extLst>
          </c:dPt>
          <c:cat>
            <c:strRef>
              <c:f>'Estructura Deuda'!$A$60:$A$61</c:f>
              <c:strCache>
                <c:ptCount val="2"/>
                <c:pt idx="0">
                  <c:v>Fija (Deuda en UF)</c:v>
                </c:pt>
                <c:pt idx="1">
                  <c:v>Variable (Deuda en Pesos)</c:v>
                </c:pt>
              </c:strCache>
            </c:strRef>
          </c:cat>
          <c:val>
            <c:numRef>
              <c:f>'Estructura Deuda'!$B$60:$B$61</c:f>
              <c:numCache>
                <c:formatCode>0.0%</c:formatCode>
                <c:ptCount val="2"/>
                <c:pt idx="0">
                  <c:v>0.88500000000000001</c:v>
                </c:pt>
                <c:pt idx="1">
                  <c:v>0.115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63-42EA-9C9A-024D82B6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Debt Structure as of December 31 2021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'Debt Structure'!$A$15</c:f>
              <c:strCache>
                <c:ptCount val="1"/>
                <c:pt idx="0">
                  <c:v>Promissory Notes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'Debt Structure'!$B$14:$X$14</c:f>
              <c:strCache>
                <c:ptCount val="2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</c:strCache>
            </c:strRef>
          </c:cat>
          <c:val>
            <c:numRef>
              <c:f>'Debt Structure'!$B$15:$X$15</c:f>
              <c:numCache>
                <c:formatCode>#,##0</c:formatCode>
                <c:ptCount val="23"/>
                <c:pt idx="0">
                  <c:v>33437.768319893337</c:v>
                </c:pt>
                <c:pt idx="1">
                  <c:v>22754.410246985844</c:v>
                </c:pt>
                <c:pt idx="2">
                  <c:v>21326.056084071472</c:v>
                </c:pt>
                <c:pt idx="3">
                  <c:v>15810.939000741839</c:v>
                </c:pt>
                <c:pt idx="4">
                  <c:v>16305.372797146896</c:v>
                </c:pt>
                <c:pt idx="5">
                  <c:v>14494.783397062563</c:v>
                </c:pt>
                <c:pt idx="6">
                  <c:v>15048.545934345673</c:v>
                </c:pt>
                <c:pt idx="7">
                  <c:v>13159.007122066172</c:v>
                </c:pt>
                <c:pt idx="8">
                  <c:v>9435.6523004692717</c:v>
                </c:pt>
                <c:pt idx="9">
                  <c:v>12823.974446755357</c:v>
                </c:pt>
                <c:pt idx="10">
                  <c:v>4028.6762637036795</c:v>
                </c:pt>
                <c:pt idx="11">
                  <c:v>3492.5084016814694</c:v>
                </c:pt>
                <c:pt idx="12">
                  <c:v>6608.7129346090724</c:v>
                </c:pt>
                <c:pt idx="13">
                  <c:v>4164.0997824815231</c:v>
                </c:pt>
                <c:pt idx="14">
                  <c:v>4732.4298926268311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B-45E1-9466-CE1BAD4FB2EE}"/>
            </c:ext>
          </c:extLst>
        </c:ser>
        <c:ser>
          <c:idx val="1"/>
          <c:order val="1"/>
          <c:tx>
            <c:strRef>
              <c:f>'Debt Structure'!$A$16</c:f>
              <c:strCache>
                <c:ptCount val="1"/>
                <c:pt idx="0">
                  <c:v>Bonds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'Debt Structure'!$B$14:$X$14</c:f>
              <c:strCache>
                <c:ptCount val="2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</c:strCache>
            </c:strRef>
          </c:cat>
          <c:val>
            <c:numRef>
              <c:f>'Debt Structure'!$B$16:$X$16</c:f>
              <c:numCache>
                <c:formatCode>#,##0</c:formatCode>
                <c:ptCount val="23"/>
                <c:pt idx="0">
                  <c:v>19369.837500000001</c:v>
                </c:pt>
                <c:pt idx="1">
                  <c:v>15495.87</c:v>
                </c:pt>
                <c:pt idx="2">
                  <c:v>11621.9025</c:v>
                </c:pt>
                <c:pt idx="3">
                  <c:v>5810.9512500000001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54235.544999999998</c:v>
                </c:pt>
                <c:pt idx="10">
                  <c:v>51136.370999999999</c:v>
                </c:pt>
                <c:pt idx="11">
                  <c:v>64307.860499999995</c:v>
                </c:pt>
                <c:pt idx="12">
                  <c:v>47520.667999999998</c:v>
                </c:pt>
                <c:pt idx="13">
                  <c:v>41580.584499999997</c:v>
                </c:pt>
                <c:pt idx="14">
                  <c:v>85743.813999999998</c:v>
                </c:pt>
                <c:pt idx="15">
                  <c:v>73863.646999999997</c:v>
                </c:pt>
                <c:pt idx="16">
                  <c:v>65082.654000000002</c:v>
                </c:pt>
                <c:pt idx="17">
                  <c:v>30991.74</c:v>
                </c:pt>
                <c:pt idx="18">
                  <c:v>15495.87</c:v>
                </c:pt>
                <c:pt idx="19">
                  <c:v>15495.87</c:v>
                </c:pt>
                <c:pt idx="20">
                  <c:v>46487.61</c:v>
                </c:pt>
                <c:pt idx="21">
                  <c:v>46487.61</c:v>
                </c:pt>
                <c:pt idx="22">
                  <c:v>15495.87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2B-45E1-9466-CE1BAD4FB2EE}"/>
            </c:ext>
          </c:extLst>
        </c:ser>
        <c:ser>
          <c:idx val="2"/>
          <c:order val="2"/>
          <c:tx>
            <c:strRef>
              <c:f>'Debt Structure'!$A$17</c:f>
              <c:strCache>
                <c:ptCount val="1"/>
                <c:pt idx="0">
                  <c:v>Bank Loans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'Debt Structure'!$B$14:$X$14</c:f>
              <c:strCache>
                <c:ptCount val="2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</c:strCache>
            </c:strRef>
          </c:cat>
          <c:val>
            <c:numRef>
              <c:f>'Debt Structure'!$B$17:$X$17</c:f>
              <c:numCache>
                <c:formatCode>#,##0</c:formatCode>
                <c:ptCount val="23"/>
                <c:pt idx="0">
                  <c:v>8849.780999999999</c:v>
                </c:pt>
                <c:pt idx="1">
                  <c:v>19349.780999999999</c:v>
                </c:pt>
                <c:pt idx="2">
                  <c:v>103849.781</c:v>
                </c:pt>
                <c:pt idx="3">
                  <c:v>67224.890500000009</c:v>
                </c:pt>
                <c:pt idx="4">
                  <c:v>39270.304000000004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2B-45E1-9466-CE1BAD4FB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40279304"/>
        <c:axId val="937240480"/>
        <c:axId val="0"/>
      </c:bar3DChart>
      <c:catAx>
        <c:axId val="940279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37240480"/>
        <c:crosses val="autoZero"/>
        <c:auto val="1"/>
        <c:lblAlgn val="ctr"/>
        <c:lblOffset val="100"/>
        <c:noMultiLvlLbl val="0"/>
      </c:catAx>
      <c:valAx>
        <c:axId val="9372404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Millons of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40279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Financial Instruments as of December </a:t>
            </a:r>
            <a:r>
              <a:rPr lang="en-US" sz="1400" b="0" i="0" u="none" strike="noStrike" baseline="0">
                <a:effectLst/>
              </a:rPr>
              <a:t>31 2021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58-48FD-B906-5B359516ED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58-48FD-B906-5B359516ED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558-48FD-B906-5B359516ED59}"/>
              </c:ext>
            </c:extLst>
          </c:dPt>
          <c:cat>
            <c:strRef>
              <c:f>'Debt Structure'!$A$41:$A$43</c:f>
              <c:strCache>
                <c:ptCount val="3"/>
                <c:pt idx="0">
                  <c:v>Promissory Notes</c:v>
                </c:pt>
                <c:pt idx="1">
                  <c:v>Bonds</c:v>
                </c:pt>
                <c:pt idx="2">
                  <c:v>Bank Loans</c:v>
                </c:pt>
              </c:strCache>
            </c:strRef>
          </c:cat>
          <c:val>
            <c:numRef>
              <c:f>'Debt Structure'!$B$41:$B$43</c:f>
              <c:numCache>
                <c:formatCode>0%</c:formatCode>
                <c:ptCount val="3"/>
                <c:pt idx="0">
                  <c:v>0.17199999999999999</c:v>
                </c:pt>
                <c:pt idx="1">
                  <c:v>0.61899999999999999</c:v>
                </c:pt>
                <c:pt idx="2">
                  <c:v>0.20699999999999999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558-48FD-B906-5B359516E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Interest Type as of</a:t>
            </a:r>
            <a:r>
              <a:rPr lang="en-US" baseline="0"/>
              <a:t> December</a:t>
            </a:r>
            <a:r>
              <a:rPr lang="en-US" sz="1400" b="0" i="0" u="none" strike="noStrike" baseline="0">
                <a:effectLst/>
              </a:rPr>
              <a:t> 31 2021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1CA-4DFF-882F-72DB2FD0A3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1CA-4DFF-882F-72DB2FD0A3A9}"/>
              </c:ext>
            </c:extLst>
          </c:dPt>
          <c:cat>
            <c:strRef>
              <c:f>'Debt Structure'!$A$60:$A$61</c:f>
              <c:strCache>
                <c:ptCount val="2"/>
                <c:pt idx="0">
                  <c:v>Fixed (Debt in UF)</c:v>
                </c:pt>
                <c:pt idx="1">
                  <c:v>Variable (Debt in Pesos)</c:v>
                </c:pt>
              </c:strCache>
            </c:strRef>
          </c:cat>
          <c:val>
            <c:numRef>
              <c:f>'Debt Structure'!$B$60:$B$61</c:f>
              <c:numCache>
                <c:formatCode>0%</c:formatCode>
                <c:ptCount val="2"/>
                <c:pt idx="0">
                  <c:v>0.88500000000000001</c:v>
                </c:pt>
                <c:pt idx="1">
                  <c:v>0.115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CA-4DFF-882F-72DB2FD0A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671512</xdr:colOff>
      <xdr:row>17</xdr:row>
      <xdr:rowOff>80962</xdr:rowOff>
    </xdr:from>
    <xdr:to>
      <xdr:col>11</xdr:col>
      <xdr:colOff>671512</xdr:colOff>
      <xdr:row>34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36</xdr:row>
      <xdr:rowOff>33337</xdr:rowOff>
    </xdr:from>
    <xdr:to>
      <xdr:col>11</xdr:col>
      <xdr:colOff>600075</xdr:colOff>
      <xdr:row>54</xdr:row>
      <xdr:rowOff>23812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42862</xdr:colOff>
      <xdr:row>58</xdr:row>
      <xdr:rowOff>61912</xdr:rowOff>
    </xdr:from>
    <xdr:to>
      <xdr:col>12</xdr:col>
      <xdr:colOff>42862</xdr:colOff>
      <xdr:row>75</xdr:row>
      <xdr:rowOff>52387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671511</xdr:colOff>
      <xdr:row>18</xdr:row>
      <xdr:rowOff>80962</xdr:rowOff>
    </xdr:from>
    <xdr:to>
      <xdr:col>13</xdr:col>
      <xdr:colOff>466724</xdr:colOff>
      <xdr:row>35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37</xdr:row>
      <xdr:rowOff>33337</xdr:rowOff>
    </xdr:from>
    <xdr:to>
      <xdr:col>11</xdr:col>
      <xdr:colOff>600075</xdr:colOff>
      <xdr:row>54</xdr:row>
      <xdr:rowOff>23812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42862</xdr:colOff>
      <xdr:row>58</xdr:row>
      <xdr:rowOff>61912</xdr:rowOff>
    </xdr:from>
    <xdr:to>
      <xdr:col>12</xdr:col>
      <xdr:colOff>42862</xdr:colOff>
      <xdr:row>75</xdr:row>
      <xdr:rowOff>52387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labarcaa\AppData\Local\Microsoft\Windows\INetCache\Content.Outlook\YBTR4XIO\Tablas%20an&#225;lisis%20razonado%20AA_1T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IR%20y%20Estudios%20Financieros\2019\Estados%20Financieros\4.-%20Septiembre%202019\Archivos%20Base%20EEFF\01%20Fecu%20AA%203T19%20v-0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/>
      <sheetData sheetId="1">
        <row r="3">
          <cell r="F3" t="str">
            <v>2021 / 2020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D5">
            <v>136543512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tt"/>
      <sheetName val="Balance_Dic18"/>
      <sheetName val="resultado 09"/>
      <sheetName val="Resultado_Sept18"/>
      <sheetName val="Balance_Sept19"/>
      <sheetName val="Resultado_Sept19"/>
      <sheetName val="Activo"/>
      <sheetName val="Pasivo"/>
      <sheetName val="Resultado"/>
      <sheetName val="Flujo "/>
      <sheetName val="Eº Cambio Patrimonio"/>
      <sheetName val="Nuevos pronunciamientos"/>
      <sheetName val="Filiales"/>
      <sheetName val="N2.2L ME"/>
      <sheetName val="N2.W Reclasificaciones"/>
      <sheetName val="N3 E y EQ"/>
      <sheetName val="3.1 Equivalentes al efectivo"/>
      <sheetName val="N4 Riesgo de credito"/>
      <sheetName val="Nota 5.1 Estratificación "/>
      <sheetName val="N5 CxC EERR"/>
      <sheetName val="N5 CxP EERR"/>
      <sheetName val="N5 Transacciones"/>
      <sheetName val="N5 Directorio y Comité"/>
      <sheetName val="N6 Inventarios "/>
      <sheetName val="N7 Otros activos"/>
      <sheetName val="N8 Activos mant. para venta"/>
      <sheetName val="N9 Nic 38 Intangible"/>
      <sheetName val="N10 Plusvalia"/>
      <sheetName val="N11 Nic 16 PPyE"/>
      <sheetName val="N12 Arrendamiento NIIF16"/>
      <sheetName val="N13 ID e Impto Renta"/>
      <sheetName val="N14.3 Clase de instrumentos fin"/>
      <sheetName val="14.4 AFR, corriente"/>
      <sheetName val="14.4 AFR, no corriente"/>
      <sheetName val="14.4 Prestamos periodo actual"/>
      <sheetName val="14.4 Prestamos periodo anterior"/>
      <sheetName val="14.4 Bonos periodo actual"/>
      <sheetName val="14.4 Bonos periodo anterior"/>
      <sheetName val="14.4 Conciliación SI y SF"/>
      <sheetName val="14.5 Perfil vencimiento"/>
      <sheetName val="14.5 Tasa de interes"/>
      <sheetName val="14.5 Analisis sensibilizacion"/>
      <sheetName val="14.6 Valor justo"/>
      <sheetName val="N15 Acreedores comerciales"/>
      <sheetName val="15.1 Acreed Comer x vencim"/>
      <sheetName val="N16 Provisiones"/>
      <sheetName val="N17 Beneficios empleados"/>
      <sheetName val="N18 Otros pasivos no fin."/>
      <sheetName val="N20 Minoritarios"/>
      <sheetName val="N21 Ingresos ordinario"/>
      <sheetName val="N22 Otros gastos"/>
      <sheetName val="N23 Otros Ing y Gtos"/>
      <sheetName val="N24 Dif. de cambio"/>
      <sheetName val="N25 Resultado Unid Reajuste"/>
      <sheetName val="N26 Segmento"/>
      <sheetName val="N27 Ganancias por acción"/>
      <sheetName val="N28 EEFF Cons e Ind"/>
      <sheetName val="BExRepositorySheet"/>
      <sheetName val="N30 Garantias y Rest"/>
      <sheetName val="N31 Costo Financ"/>
      <sheetName val="N32 Medio ambiente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D5">
            <v>28309357</v>
          </cell>
        </row>
      </sheetData>
      <sheetData sheetId="7">
        <row r="5">
          <cell r="D5">
            <v>41605859</v>
          </cell>
        </row>
        <row r="16">
          <cell r="D16">
            <v>987332229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workbookViewId="0">
      <selection activeCell="B14" sqref="B14"/>
    </sheetView>
  </sheetViews>
  <sheetFormatPr baseColWidth="10" defaultRowHeight="13.2" x14ac:dyDescent="0.25"/>
  <cols>
    <col min="1" max="1" width="17.109375" bestFit="1" customWidth="1"/>
    <col min="2" max="2" width="14.5546875" bestFit="1" customWidth="1"/>
  </cols>
  <sheetData>
    <row r="1" spans="1:3" x14ac:dyDescent="0.25">
      <c r="B1" s="90" t="s">
        <v>203</v>
      </c>
    </row>
    <row r="2" spans="1:3" x14ac:dyDescent="0.25">
      <c r="A2" s="75" t="s">
        <v>131</v>
      </c>
    </row>
    <row r="4" spans="1:3" x14ac:dyDescent="0.25">
      <c r="A4" t="s">
        <v>132</v>
      </c>
      <c r="B4" s="7" t="str">
        <f>"506 Billion"</f>
        <v>506 Billion</v>
      </c>
    </row>
    <row r="5" spans="1:3" x14ac:dyDescent="0.25">
      <c r="A5" t="s">
        <v>79</v>
      </c>
      <c r="B5" s="7" t="str">
        <f>"101 Billion"</f>
        <v>101 Billion</v>
      </c>
    </row>
    <row r="6" spans="1:3" x14ac:dyDescent="0.25">
      <c r="A6" t="s">
        <v>4</v>
      </c>
      <c r="B6" s="7" t="str">
        <f>"263 Billion"</f>
        <v>263 Billion</v>
      </c>
    </row>
    <row r="7" spans="1:3" x14ac:dyDescent="0.25">
      <c r="B7" s="76"/>
    </row>
    <row r="9" spans="1:3" x14ac:dyDescent="0.25">
      <c r="A9" s="75" t="s">
        <v>133</v>
      </c>
    </row>
    <row r="10" spans="1:3" x14ac:dyDescent="0.25">
      <c r="A10" s="75"/>
    </row>
    <row r="11" spans="1:3" x14ac:dyDescent="0.25">
      <c r="A11" t="s">
        <v>2</v>
      </c>
      <c r="B11" s="7" t="str">
        <f>"506.460 MM"</f>
        <v>506.460 MM</v>
      </c>
      <c r="C11" s="7"/>
    </row>
    <row r="12" spans="1:3" x14ac:dyDescent="0.25">
      <c r="A12" t="s">
        <v>9</v>
      </c>
      <c r="B12" s="7" t="str">
        <f>"100.465 MM"</f>
        <v>100.465 MM</v>
      </c>
    </row>
    <row r="13" spans="1:3" x14ac:dyDescent="0.25">
      <c r="A13" t="s">
        <v>4</v>
      </c>
      <c r="B13" s="7" t="str">
        <f>"262.818 MM"</f>
        <v>262.818 MM</v>
      </c>
    </row>
    <row r="14" spans="1:3" x14ac:dyDescent="0.25">
      <c r="B14" s="76"/>
      <c r="C14" s="77"/>
    </row>
    <row r="16" spans="1:3" x14ac:dyDescent="0.25">
      <c r="B16" s="10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tabSelected="1" workbookViewId="0">
      <selection activeCell="B14" sqref="B14"/>
    </sheetView>
  </sheetViews>
  <sheetFormatPr baseColWidth="10" defaultRowHeight="13.2" x14ac:dyDescent="0.25"/>
  <cols>
    <col min="1" max="1" width="17.109375" bestFit="1" customWidth="1"/>
    <col min="2" max="2" width="14.5546875" bestFit="1" customWidth="1"/>
  </cols>
  <sheetData>
    <row r="1" spans="1:3" x14ac:dyDescent="0.25">
      <c r="A1" s="174"/>
      <c r="B1" s="175" t="str">
        <f>+'Home Page AA'!B1</f>
        <v>December 2021</v>
      </c>
    </row>
    <row r="2" spans="1:3" x14ac:dyDescent="0.25">
      <c r="A2" s="176" t="s">
        <v>131</v>
      </c>
      <c r="B2" s="174"/>
    </row>
    <row r="3" spans="1:3" x14ac:dyDescent="0.25">
      <c r="A3" s="174"/>
      <c r="B3" s="174"/>
    </row>
    <row r="4" spans="1:3" x14ac:dyDescent="0.25">
      <c r="A4" s="174" t="s">
        <v>132</v>
      </c>
      <c r="B4" s="177" t="str">
        <f>"506 Billion"</f>
        <v>506 Billion</v>
      </c>
    </row>
    <row r="5" spans="1:3" x14ac:dyDescent="0.25">
      <c r="A5" s="174" t="s">
        <v>79</v>
      </c>
      <c r="B5" s="177" t="str">
        <f>"49 Billion"</f>
        <v>49 Billion</v>
      </c>
    </row>
    <row r="6" spans="1:3" x14ac:dyDescent="0.25">
      <c r="A6" s="174" t="s">
        <v>4</v>
      </c>
      <c r="B6" s="177" t="str">
        <f>"261 Billion"</f>
        <v>261 Billion</v>
      </c>
    </row>
    <row r="7" spans="1:3" x14ac:dyDescent="0.25">
      <c r="A7" s="174"/>
      <c r="B7" s="178"/>
    </row>
    <row r="8" spans="1:3" x14ac:dyDescent="0.25">
      <c r="A8" s="174"/>
      <c r="B8" s="174"/>
    </row>
    <row r="9" spans="1:3" x14ac:dyDescent="0.25">
      <c r="A9" s="176" t="s">
        <v>133</v>
      </c>
      <c r="B9" s="174"/>
    </row>
    <row r="10" spans="1:3" x14ac:dyDescent="0.25">
      <c r="A10" s="176"/>
      <c r="B10" s="174"/>
    </row>
    <row r="11" spans="1:3" x14ac:dyDescent="0.25">
      <c r="A11" s="174" t="s">
        <v>2</v>
      </c>
      <c r="B11" s="177" t="str">
        <f>"506.458 MM"</f>
        <v>506.458 MM</v>
      </c>
      <c r="C11" s="7"/>
    </row>
    <row r="12" spans="1:3" x14ac:dyDescent="0.25">
      <c r="A12" s="174" t="s">
        <v>9</v>
      </c>
      <c r="B12" s="177" t="str">
        <f>"48.990 MM"</f>
        <v>48.990 MM</v>
      </c>
    </row>
    <row r="13" spans="1:3" x14ac:dyDescent="0.25">
      <c r="A13" s="174" t="s">
        <v>4</v>
      </c>
      <c r="B13" s="177" t="str">
        <f>"261.386 MM"</f>
        <v>261.386 MM</v>
      </c>
    </row>
    <row r="14" spans="1:3" x14ac:dyDescent="0.25">
      <c r="A14" s="174"/>
      <c r="B14" s="178"/>
      <c r="C14" s="7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86"/>
  <sheetViews>
    <sheetView showGridLines="0" tabSelected="1" topLeftCell="A61" workbookViewId="0">
      <selection activeCell="B14" sqref="B14"/>
    </sheetView>
  </sheetViews>
  <sheetFormatPr baseColWidth="10" defaultColWidth="11.44140625" defaultRowHeight="15" customHeight="1" x14ac:dyDescent="0.25"/>
  <cols>
    <col min="1" max="1" width="4" style="2" customWidth="1"/>
    <col min="2" max="2" width="72.44140625" style="2" bestFit="1" customWidth="1"/>
    <col min="3" max="4" width="12.6640625" style="2" customWidth="1"/>
    <col min="5" max="5" width="15.5546875" style="2" customWidth="1"/>
    <col min="6" max="9" width="11.44140625" style="2"/>
    <col min="10" max="10" width="14.109375" style="2" bestFit="1" customWidth="1"/>
    <col min="11" max="16384" width="11.44140625" style="2"/>
  </cols>
  <sheetData>
    <row r="1" spans="1:10" ht="15" customHeight="1" x14ac:dyDescent="0.25">
      <c r="A1" s="1" t="s">
        <v>0</v>
      </c>
    </row>
    <row r="3" spans="1:10" s="3" customFormat="1" ht="15" customHeight="1" thickBot="1" x14ac:dyDescent="0.35">
      <c r="B3" s="4" t="s">
        <v>1</v>
      </c>
      <c r="C3" s="107" t="s">
        <v>204</v>
      </c>
      <c r="D3" s="107" t="s">
        <v>205</v>
      </c>
      <c r="E3" s="108" t="s">
        <v>180</v>
      </c>
      <c r="F3" s="99"/>
      <c r="G3" s="98" t="str">
        <f>+[1]Resultados!F3</f>
        <v>2021 / 2020</v>
      </c>
    </row>
    <row r="4" spans="1:10" ht="15" customHeight="1" x14ac:dyDescent="0.3">
      <c r="B4" s="6" t="s">
        <v>186</v>
      </c>
      <c r="C4" s="100">
        <v>506459633</v>
      </c>
      <c r="D4" s="100">
        <v>478773563</v>
      </c>
      <c r="E4" s="93">
        <v>5.8000000000000003E-2</v>
      </c>
      <c r="F4" s="99"/>
      <c r="G4" s="101">
        <f>+C4-D4</f>
        <v>27686070</v>
      </c>
    </row>
    <row r="5" spans="1:10" s="8" customFormat="1" ht="15" customHeight="1" x14ac:dyDescent="0.25">
      <c r="B5" s="6" t="s">
        <v>187</v>
      </c>
      <c r="C5" s="100">
        <v>-243641242</v>
      </c>
      <c r="D5" s="100">
        <v>-243441636</v>
      </c>
      <c r="E5" s="93">
        <v>1E-3</v>
      </c>
      <c r="F5" s="102"/>
      <c r="G5" s="101">
        <f t="shared" ref="G5:G15" si="0">+C5-D5</f>
        <v>-199606</v>
      </c>
    </row>
    <row r="6" spans="1:10" s="8" customFormat="1" ht="15" customHeight="1" x14ac:dyDescent="0.3">
      <c r="B6" s="9" t="s">
        <v>4</v>
      </c>
      <c r="C6" s="103">
        <v>262818391</v>
      </c>
      <c r="D6" s="103">
        <v>235331927</v>
      </c>
      <c r="E6" s="104">
        <v>0.11700000000000001</v>
      </c>
      <c r="F6" s="99"/>
      <c r="G6" s="101">
        <f t="shared" si="0"/>
        <v>27486464</v>
      </c>
      <c r="J6" s="10"/>
    </row>
    <row r="7" spans="1:10" s="8" customFormat="1" ht="15" customHeight="1" x14ac:dyDescent="0.3">
      <c r="B7" s="6" t="s">
        <v>188</v>
      </c>
      <c r="C7" s="100">
        <v>-69195160</v>
      </c>
      <c r="D7" s="100">
        <v>-67134809</v>
      </c>
      <c r="E7" s="93">
        <v>3.1E-2</v>
      </c>
      <c r="F7" s="105"/>
      <c r="G7" s="106">
        <f t="shared" si="0"/>
        <v>-2060351</v>
      </c>
      <c r="J7" s="10"/>
    </row>
    <row r="8" spans="1:10" s="8" customFormat="1" ht="15" customHeight="1" x14ac:dyDescent="0.3">
      <c r="B8" s="9" t="s">
        <v>189</v>
      </c>
      <c r="C8" s="103">
        <v>193623231</v>
      </c>
      <c r="D8" s="103">
        <v>168197118</v>
      </c>
      <c r="E8" s="104">
        <v>0.151</v>
      </c>
      <c r="F8" s="99"/>
      <c r="G8" s="101">
        <f t="shared" si="0"/>
        <v>25426113</v>
      </c>
      <c r="J8" s="10"/>
    </row>
    <row r="9" spans="1:10" s="8" customFormat="1" ht="15" customHeight="1" x14ac:dyDescent="0.3">
      <c r="B9" s="6" t="s">
        <v>190</v>
      </c>
      <c r="C9" s="100">
        <v>3629839</v>
      </c>
      <c r="D9" s="100">
        <v>-3967292</v>
      </c>
      <c r="E9" s="93">
        <v>-1.915</v>
      </c>
      <c r="F9" s="105"/>
      <c r="G9" s="106">
        <f t="shared" si="0"/>
        <v>7597131</v>
      </c>
      <c r="J9" s="10"/>
    </row>
    <row r="10" spans="1:10" s="8" customFormat="1" ht="15" customHeight="1" x14ac:dyDescent="0.25">
      <c r="B10" s="6" t="s">
        <v>195</v>
      </c>
      <c r="C10" s="100">
        <v>0</v>
      </c>
      <c r="D10" s="100">
        <v>-1404946</v>
      </c>
      <c r="E10" s="110">
        <v>-1</v>
      </c>
      <c r="F10" s="102"/>
      <c r="G10" s="101">
        <f t="shared" si="0"/>
        <v>1404946</v>
      </c>
      <c r="J10" s="10"/>
    </row>
    <row r="11" spans="1:10" s="8" customFormat="1" ht="15" customHeight="1" x14ac:dyDescent="0.3">
      <c r="B11" s="6" t="s">
        <v>191</v>
      </c>
      <c r="C11" s="100">
        <v>-76943650</v>
      </c>
      <c r="D11" s="100">
        <v>-47143249</v>
      </c>
      <c r="E11" s="93">
        <v>0.63200000000000001</v>
      </c>
      <c r="F11" s="99"/>
      <c r="G11" s="101">
        <f t="shared" si="0"/>
        <v>-29800401</v>
      </c>
    </row>
    <row r="12" spans="1:10" s="8" customFormat="1" ht="15" customHeight="1" x14ac:dyDescent="0.3">
      <c r="B12" s="6" t="s">
        <v>8</v>
      </c>
      <c r="C12" s="100">
        <v>-19662886</v>
      </c>
      <c r="D12" s="100">
        <v>-26987579</v>
      </c>
      <c r="E12" s="93">
        <v>-0.27100000000000002</v>
      </c>
      <c r="F12" s="99"/>
      <c r="G12" s="101">
        <f t="shared" si="0"/>
        <v>7324693</v>
      </c>
      <c r="J12" s="10"/>
    </row>
    <row r="13" spans="1:10" s="8" customFormat="1" ht="15" customHeight="1" x14ac:dyDescent="0.3">
      <c r="B13" s="6" t="s">
        <v>192</v>
      </c>
      <c r="C13" s="100">
        <v>0</v>
      </c>
      <c r="D13" s="100">
        <v>11671443</v>
      </c>
      <c r="E13" s="93">
        <v>-1</v>
      </c>
      <c r="F13" s="99"/>
      <c r="G13" s="101">
        <f t="shared" si="0"/>
        <v>-11671443</v>
      </c>
      <c r="J13" s="10"/>
    </row>
    <row r="14" spans="1:10" s="8" customFormat="1" ht="15" customHeight="1" x14ac:dyDescent="0.3">
      <c r="B14" s="6" t="s">
        <v>206</v>
      </c>
      <c r="C14" s="100">
        <v>-2005</v>
      </c>
      <c r="D14" s="100">
        <v>-1673827</v>
      </c>
      <c r="E14" s="93">
        <v>-0.999</v>
      </c>
      <c r="F14" s="99"/>
      <c r="G14" s="101"/>
      <c r="J14" s="10"/>
    </row>
    <row r="15" spans="1:10" s="8" customFormat="1" ht="15" customHeight="1" x14ac:dyDescent="0.3">
      <c r="B15" s="9" t="s">
        <v>193</v>
      </c>
      <c r="C15" s="103">
        <v>100644529</v>
      </c>
      <c r="D15" s="103">
        <v>98691668</v>
      </c>
      <c r="E15" s="104">
        <v>0.02</v>
      </c>
      <c r="F15" s="105"/>
      <c r="G15" s="106">
        <f t="shared" si="0"/>
        <v>1952861</v>
      </c>
    </row>
    <row r="17" spans="1:13" s="8" customFormat="1" ht="15" customHeight="1" x14ac:dyDescent="0.3">
      <c r="A17" s="1" t="s">
        <v>10</v>
      </c>
      <c r="B17" s="114"/>
      <c r="C17" s="115"/>
      <c r="D17" s="115"/>
      <c r="E17" s="116"/>
      <c r="F17" s="117"/>
      <c r="G17" s="115"/>
      <c r="H17" s="118"/>
      <c r="I17" s="118"/>
      <c r="J17" s="118"/>
    </row>
    <row r="18" spans="1:13" s="8" customFormat="1" ht="15" customHeight="1" x14ac:dyDescent="0.3">
      <c r="B18" s="114"/>
      <c r="C18" s="115"/>
      <c r="D18" s="115"/>
      <c r="E18" s="116"/>
      <c r="F18" s="117"/>
      <c r="G18" s="115"/>
      <c r="H18" s="118"/>
      <c r="I18" s="118"/>
      <c r="J18" s="118"/>
    </row>
    <row r="19" spans="1:13" s="8" customFormat="1" ht="15" customHeight="1" thickBot="1" x14ac:dyDescent="0.35">
      <c r="B19" s="119"/>
      <c r="C19" s="195" t="str">
        <f>+C3</f>
        <v xml:space="preserve">         Dic. 21</v>
      </c>
      <c r="D19" s="195"/>
      <c r="E19" s="120"/>
      <c r="F19" s="195" t="str">
        <f>D3</f>
        <v xml:space="preserve">               Dic. 20</v>
      </c>
      <c r="G19" s="195"/>
      <c r="H19" s="120"/>
      <c r="I19" s="195" t="s">
        <v>11</v>
      </c>
      <c r="J19" s="195"/>
      <c r="K19" s="15"/>
    </row>
    <row r="20" spans="1:13" s="8" customFormat="1" ht="15" customHeight="1" x14ac:dyDescent="0.3">
      <c r="B20" s="119"/>
      <c r="C20" s="121" t="s">
        <v>12</v>
      </c>
      <c r="D20" s="196" t="s">
        <v>13</v>
      </c>
      <c r="E20" s="120"/>
      <c r="F20" s="121" t="s">
        <v>12</v>
      </c>
      <c r="G20" s="196" t="s">
        <v>13</v>
      </c>
      <c r="H20" s="120"/>
      <c r="I20" s="196" t="s">
        <v>14</v>
      </c>
      <c r="J20" s="196" t="s">
        <v>15</v>
      </c>
      <c r="K20" s="15"/>
    </row>
    <row r="21" spans="1:13" s="8" customFormat="1" ht="15" customHeight="1" thickBot="1" x14ac:dyDescent="0.35">
      <c r="B21" s="119"/>
      <c r="C21" s="122" t="s">
        <v>14</v>
      </c>
      <c r="D21" s="194"/>
      <c r="E21" s="120"/>
      <c r="F21" s="122" t="s">
        <v>14</v>
      </c>
      <c r="G21" s="194"/>
      <c r="H21" s="120"/>
      <c r="I21" s="194"/>
      <c r="J21" s="194"/>
      <c r="K21" s="15"/>
    </row>
    <row r="22" spans="1:13" s="8" customFormat="1" ht="15" customHeight="1" x14ac:dyDescent="0.3">
      <c r="B22" s="123" t="s">
        <v>16</v>
      </c>
      <c r="C22" s="124">
        <v>205176457</v>
      </c>
      <c r="D22" s="125">
        <v>0.40500000000000003</v>
      </c>
      <c r="E22" s="126"/>
      <c r="F22" s="124">
        <v>195787729</v>
      </c>
      <c r="G22" s="125">
        <v>0.40899999999999997</v>
      </c>
      <c r="H22" s="120"/>
      <c r="I22" s="127">
        <f>C22-F22</f>
        <v>9388728</v>
      </c>
      <c r="J22" s="128">
        <f>C22/F22-1</f>
        <v>4.7953607960793176E-2</v>
      </c>
      <c r="K22" s="15"/>
      <c r="M22" s="17"/>
    </row>
    <row r="23" spans="1:13" s="8" customFormat="1" ht="15" customHeight="1" x14ac:dyDescent="0.3">
      <c r="B23" s="123" t="s">
        <v>17</v>
      </c>
      <c r="C23" s="124">
        <v>229804561</v>
      </c>
      <c r="D23" s="125">
        <v>0.45400000000000001</v>
      </c>
      <c r="E23" s="126"/>
      <c r="F23" s="124">
        <v>219123955</v>
      </c>
      <c r="G23" s="125">
        <v>0.45800000000000002</v>
      </c>
      <c r="H23" s="120"/>
      <c r="I23" s="127">
        <f>C23-F23</f>
        <v>10680606</v>
      </c>
      <c r="J23" s="128">
        <f t="shared" ref="J23:J25" si="1">C23/F23-1</f>
        <v>4.8742302045433616E-2</v>
      </c>
      <c r="K23" s="15"/>
      <c r="M23" s="17"/>
    </row>
    <row r="24" spans="1:13" s="8" customFormat="1" ht="15" customHeight="1" x14ac:dyDescent="0.3">
      <c r="B24" s="123" t="s">
        <v>18</v>
      </c>
      <c r="C24" s="124">
        <v>13821438</v>
      </c>
      <c r="D24" s="129">
        <v>2.7E-2</v>
      </c>
      <c r="E24" s="126"/>
      <c r="F24" s="124">
        <v>13004110</v>
      </c>
      <c r="G24" s="125">
        <v>2.7E-2</v>
      </c>
      <c r="H24" s="120"/>
      <c r="I24" s="127">
        <f>C24-F24</f>
        <v>817328</v>
      </c>
      <c r="J24" s="128">
        <f t="shared" si="1"/>
        <v>6.2851513867538733E-2</v>
      </c>
      <c r="K24" s="15"/>
      <c r="M24" s="17"/>
    </row>
    <row r="25" spans="1:13" s="8" customFormat="1" ht="15" customHeight="1" thickBot="1" x14ac:dyDescent="0.35">
      <c r="B25" s="123" t="s">
        <v>19</v>
      </c>
      <c r="C25" s="130">
        <v>57657177</v>
      </c>
      <c r="D25" s="131">
        <v>0.114</v>
      </c>
      <c r="E25" s="126"/>
      <c r="F25" s="130">
        <v>50857769</v>
      </c>
      <c r="G25" s="131">
        <v>0.106</v>
      </c>
      <c r="H25" s="120"/>
      <c r="I25" s="132">
        <f>C25-F25</f>
        <v>6799408</v>
      </c>
      <c r="J25" s="133">
        <f t="shared" si="1"/>
        <v>0.13369457869848755</v>
      </c>
      <c r="K25" s="15"/>
      <c r="M25" s="17"/>
    </row>
    <row r="26" spans="1:13" s="8" customFormat="1" ht="15" customHeight="1" thickTop="1" x14ac:dyDescent="0.3">
      <c r="B26" s="134" t="s">
        <v>20</v>
      </c>
      <c r="C26" s="135">
        <f>SUM(C22:C25)</f>
        <v>506459633</v>
      </c>
      <c r="D26" s="136">
        <f>SUM(D22:D25)</f>
        <v>1</v>
      </c>
      <c r="E26" s="126"/>
      <c r="F26" s="135">
        <f>SUM(F22:F25)</f>
        <v>478773563</v>
      </c>
      <c r="G26" s="136">
        <f>SUM(G22:G25)</f>
        <v>1</v>
      </c>
      <c r="H26" s="120"/>
      <c r="I26" s="137">
        <f t="shared" ref="I26" si="2">C26-F26</f>
        <v>27686070</v>
      </c>
      <c r="J26" s="138">
        <f t="shared" ref="J26" si="3">C26/F26-1</f>
        <v>5.7827065108856157E-2</v>
      </c>
      <c r="K26" s="15"/>
      <c r="L26" s="18"/>
      <c r="M26" s="17"/>
    </row>
    <row r="27" spans="1:13" s="8" customFormat="1" ht="15" customHeight="1" x14ac:dyDescent="0.25">
      <c r="B27" s="118"/>
      <c r="C27" s="118"/>
      <c r="D27" s="118"/>
      <c r="E27" s="118"/>
      <c r="F27" s="118"/>
      <c r="G27" s="118"/>
      <c r="H27" s="118"/>
      <c r="I27" s="118"/>
      <c r="J27" s="118"/>
      <c r="K27" s="15"/>
    </row>
    <row r="28" spans="1:13" s="8" customFormat="1" ht="15" customHeight="1" thickBot="1" x14ac:dyDescent="0.35">
      <c r="B28" s="139" t="s">
        <v>21</v>
      </c>
      <c r="C28" s="122" t="str">
        <f>C3</f>
        <v xml:space="preserve">         Dic. 21</v>
      </c>
      <c r="D28" s="122" t="str">
        <f>D3</f>
        <v xml:space="preserve">               Dic. 20</v>
      </c>
      <c r="E28" s="122" t="s">
        <v>22</v>
      </c>
      <c r="F28" s="120"/>
      <c r="G28" s="122" t="s">
        <v>23</v>
      </c>
      <c r="H28" s="118"/>
      <c r="I28" s="118"/>
      <c r="J28" s="118"/>
      <c r="K28" s="15"/>
    </row>
    <row r="29" spans="1:13" s="8" customFormat="1" ht="15" customHeight="1" x14ac:dyDescent="0.3">
      <c r="B29" s="123" t="s">
        <v>24</v>
      </c>
      <c r="C29" s="124">
        <v>535738</v>
      </c>
      <c r="D29" s="124">
        <v>533881</v>
      </c>
      <c r="E29" s="129">
        <f t="shared" ref="E29:E32" si="4">ROUND(G29/D29,3)</f>
        <v>3.0000000000000001E-3</v>
      </c>
      <c r="F29" s="120"/>
      <c r="G29" s="127">
        <f>+C29-D29</f>
        <v>1857</v>
      </c>
      <c r="H29" s="118"/>
      <c r="I29" s="140"/>
      <c r="J29" s="118"/>
    </row>
    <row r="30" spans="1:13" s="8" customFormat="1" ht="15" customHeight="1" x14ac:dyDescent="0.3">
      <c r="B30" s="123" t="s">
        <v>25</v>
      </c>
      <c r="C30" s="124">
        <v>514218</v>
      </c>
      <c r="D30" s="124">
        <v>511267</v>
      </c>
      <c r="E30" s="129">
        <f>ROUND(G30/D30,3)</f>
        <v>6.0000000000000001E-3</v>
      </c>
      <c r="F30" s="120"/>
      <c r="G30" s="127">
        <f t="shared" ref="G30:G32" si="5">+C30-D30</f>
        <v>2951</v>
      </c>
      <c r="H30" s="118"/>
      <c r="I30" s="140"/>
      <c r="J30" s="118"/>
    </row>
    <row r="31" spans="1:13" s="8" customFormat="1" ht="15" customHeight="1" x14ac:dyDescent="0.3">
      <c r="B31" s="123" t="s">
        <v>26</v>
      </c>
      <c r="C31" s="124">
        <v>443596</v>
      </c>
      <c r="D31" s="124">
        <v>440582</v>
      </c>
      <c r="E31" s="129">
        <f t="shared" si="4"/>
        <v>7.0000000000000001E-3</v>
      </c>
      <c r="F31" s="120"/>
      <c r="G31" s="127">
        <f t="shared" si="5"/>
        <v>3014</v>
      </c>
      <c r="H31" s="118"/>
      <c r="I31" s="140"/>
      <c r="J31" s="118"/>
    </row>
    <row r="32" spans="1:13" ht="15" customHeight="1" x14ac:dyDescent="0.25">
      <c r="B32" s="123" t="s">
        <v>27</v>
      </c>
      <c r="C32" s="124">
        <v>124277</v>
      </c>
      <c r="D32" s="124">
        <v>124710</v>
      </c>
      <c r="E32" s="129">
        <f t="shared" si="4"/>
        <v>-3.0000000000000001E-3</v>
      </c>
      <c r="F32" s="141"/>
      <c r="G32" s="127">
        <f t="shared" si="5"/>
        <v>-433</v>
      </c>
      <c r="H32" s="142"/>
      <c r="I32" s="142"/>
      <c r="J32" s="142"/>
    </row>
    <row r="33" spans="2:10" ht="15" customHeight="1" x14ac:dyDescent="0.25">
      <c r="B33" s="119"/>
      <c r="C33" s="119"/>
      <c r="D33" s="119"/>
      <c r="E33" s="119"/>
      <c r="F33" s="119"/>
      <c r="G33" s="119"/>
      <c r="H33" s="142"/>
      <c r="I33" s="142"/>
      <c r="J33" s="142"/>
    </row>
    <row r="34" spans="2:10" ht="15" customHeight="1" thickBot="1" x14ac:dyDescent="0.35">
      <c r="B34" s="139" t="s">
        <v>28</v>
      </c>
      <c r="C34" s="122" t="str">
        <f>C3</f>
        <v xml:space="preserve">         Dic. 21</v>
      </c>
      <c r="D34" s="122" t="str">
        <f>D3</f>
        <v xml:space="preserve">               Dic. 20</v>
      </c>
      <c r="E34" s="122" t="s">
        <v>22</v>
      </c>
      <c r="F34" s="120"/>
      <c r="G34" s="122" t="s">
        <v>23</v>
      </c>
      <c r="H34" s="142"/>
      <c r="I34" s="142"/>
      <c r="J34" s="142"/>
    </row>
    <row r="35" spans="2:10" ht="15" customHeight="1" x14ac:dyDescent="0.3">
      <c r="B35" s="123" t="s">
        <v>24</v>
      </c>
      <c r="C35" s="143">
        <v>2207344</v>
      </c>
      <c r="D35" s="143">
        <v>2169426</v>
      </c>
      <c r="E35" s="128">
        <f t="shared" ref="E35:E36" si="6">ROUND(G35/D35,3)</f>
        <v>1.7000000000000001E-2</v>
      </c>
      <c r="F35" s="120"/>
      <c r="G35" s="127">
        <f t="shared" ref="G35:G36" si="7">+C35-D35</f>
        <v>37918</v>
      </c>
      <c r="H35" s="142"/>
      <c r="I35" s="142"/>
      <c r="J35" s="142"/>
    </row>
    <row r="36" spans="2:10" ht="15" customHeight="1" x14ac:dyDescent="0.3">
      <c r="B36" s="123" t="s">
        <v>25</v>
      </c>
      <c r="C36" s="143">
        <v>2162909</v>
      </c>
      <c r="D36" s="143">
        <v>2125918</v>
      </c>
      <c r="E36" s="128">
        <f t="shared" si="6"/>
        <v>1.7000000000000001E-2</v>
      </c>
      <c r="F36" s="120"/>
      <c r="G36" s="127">
        <f t="shared" si="7"/>
        <v>36991</v>
      </c>
      <c r="H36" s="142"/>
      <c r="I36" s="142"/>
      <c r="J36" s="142"/>
    </row>
    <row r="37" spans="2:10" ht="15" customHeight="1" x14ac:dyDescent="0.25">
      <c r="B37" s="144"/>
      <c r="C37" s="144"/>
      <c r="D37" s="145"/>
      <c r="E37" s="145"/>
      <c r="F37" s="145"/>
      <c r="G37" s="145"/>
      <c r="H37" s="142"/>
      <c r="I37" s="142"/>
      <c r="J37" s="142"/>
    </row>
    <row r="38" spans="2:10" ht="15" customHeight="1" x14ac:dyDescent="0.25">
      <c r="B38" s="146" t="s">
        <v>29</v>
      </c>
      <c r="C38" s="144"/>
      <c r="D38" s="145"/>
      <c r="E38" s="145"/>
      <c r="F38" s="145"/>
      <c r="G38" s="145"/>
      <c r="H38" s="142"/>
      <c r="I38" s="142"/>
      <c r="J38" s="142"/>
    </row>
    <row r="39" spans="2:10" ht="15" customHeight="1" x14ac:dyDescent="0.25">
      <c r="B39" s="146"/>
      <c r="C39" s="144"/>
      <c r="D39" s="145"/>
      <c r="E39" s="145"/>
      <c r="F39" s="145"/>
      <c r="G39" s="145"/>
      <c r="H39" s="142"/>
      <c r="I39" s="142"/>
      <c r="J39" s="142"/>
    </row>
    <row r="40" spans="2:10" ht="13.8" thickBot="1" x14ac:dyDescent="0.3">
      <c r="B40" s="147" t="s">
        <v>30</v>
      </c>
      <c r="C40" s="148" t="str">
        <f>C3</f>
        <v xml:space="preserve">         Dic. 21</v>
      </c>
      <c r="D40" s="148" t="str">
        <f>D3</f>
        <v xml:space="preserve">               Dic. 20</v>
      </c>
      <c r="E40" s="148" t="s">
        <v>22</v>
      </c>
      <c r="F40" s="145"/>
      <c r="G40" s="145"/>
      <c r="H40" s="142"/>
      <c r="I40" s="142"/>
      <c r="J40" s="142"/>
    </row>
    <row r="41" spans="2:10" ht="13.2" x14ac:dyDescent="0.25">
      <c r="B41" s="123" t="s">
        <v>31</v>
      </c>
      <c r="C41" s="143">
        <v>17138411</v>
      </c>
      <c r="D41" s="143">
        <v>16172406</v>
      </c>
      <c r="E41" s="128">
        <v>0.06</v>
      </c>
      <c r="F41" s="149"/>
      <c r="G41" s="150"/>
      <c r="H41" s="142"/>
      <c r="I41" s="142"/>
      <c r="J41" s="142"/>
    </row>
    <row r="42" spans="2:10" s="3" customFormat="1" ht="13.2" x14ac:dyDescent="0.25">
      <c r="B42" s="123" t="s">
        <v>32</v>
      </c>
      <c r="C42" s="143">
        <v>6526953</v>
      </c>
      <c r="D42" s="143">
        <v>5480489</v>
      </c>
      <c r="E42" s="128">
        <v>0.191</v>
      </c>
      <c r="F42" s="149"/>
      <c r="G42" s="150"/>
      <c r="H42" s="142"/>
      <c r="I42" s="142"/>
      <c r="J42" s="142"/>
    </row>
    <row r="43" spans="2:10" ht="13.2" x14ac:dyDescent="0.25">
      <c r="B43" s="123" t="s">
        <v>183</v>
      </c>
      <c r="C43" s="143">
        <v>6336097</v>
      </c>
      <c r="D43" s="143">
        <v>6257482</v>
      </c>
      <c r="E43" s="128">
        <v>1.2999999999999999E-2</v>
      </c>
      <c r="F43" s="149"/>
      <c r="G43" s="150"/>
      <c r="H43" s="142"/>
      <c r="I43" s="142"/>
      <c r="J43" s="142"/>
    </row>
    <row r="44" spans="2:10" ht="13.2" x14ac:dyDescent="0.25">
      <c r="B44" s="123" t="s">
        <v>33</v>
      </c>
      <c r="C44" s="143">
        <v>896583</v>
      </c>
      <c r="D44" s="143">
        <v>339931</v>
      </c>
      <c r="E44" s="128">
        <v>1.6379999999999999</v>
      </c>
      <c r="F44" s="149"/>
      <c r="G44" s="150"/>
      <c r="H44" s="142"/>
      <c r="I44" s="142"/>
      <c r="J44" s="142"/>
    </row>
    <row r="45" spans="2:10" ht="13.2" x14ac:dyDescent="0.25">
      <c r="B45" s="134" t="s">
        <v>34</v>
      </c>
      <c r="C45" s="151">
        <v>30898044</v>
      </c>
      <c r="D45" s="151">
        <v>28250308</v>
      </c>
      <c r="E45" s="138">
        <v>9.4E-2</v>
      </c>
      <c r="F45" s="152"/>
      <c r="G45" s="153"/>
      <c r="H45" s="142"/>
      <c r="I45" s="142"/>
      <c r="J45" s="142"/>
    </row>
    <row r="46" spans="2:10" ht="15" customHeight="1" x14ac:dyDescent="0.25">
      <c r="B46" s="144"/>
      <c r="C46" s="154"/>
      <c r="D46" s="154"/>
      <c r="E46" s="145"/>
      <c r="F46" s="145"/>
      <c r="G46" s="145"/>
      <c r="H46" s="142"/>
      <c r="I46" s="142"/>
      <c r="J46" s="142"/>
    </row>
    <row r="47" spans="2:10" ht="15" customHeight="1" x14ac:dyDescent="0.25">
      <c r="B47" s="157" t="s">
        <v>35</v>
      </c>
      <c r="C47" s="158"/>
      <c r="D47" s="158"/>
      <c r="E47" s="142"/>
      <c r="F47" s="142"/>
      <c r="G47" s="159"/>
      <c r="H47" s="142"/>
      <c r="I47" s="142"/>
      <c r="J47" s="142"/>
    </row>
    <row r="48" spans="2:10" ht="15" customHeight="1" thickBot="1" x14ac:dyDescent="0.3">
      <c r="B48" s="119"/>
      <c r="C48" s="122" t="str">
        <f>C3</f>
        <v xml:space="preserve">         Dic. 21</v>
      </c>
      <c r="D48" s="160" t="s">
        <v>197</v>
      </c>
      <c r="E48" s="193" t="s">
        <v>22</v>
      </c>
      <c r="F48" s="142"/>
      <c r="G48" s="142"/>
      <c r="H48" s="142"/>
      <c r="I48" s="142"/>
      <c r="J48" s="142"/>
    </row>
    <row r="49" spans="2:10" ht="15" customHeight="1" thickBot="1" x14ac:dyDescent="0.3">
      <c r="B49" s="161"/>
      <c r="C49" s="122" t="s">
        <v>14</v>
      </c>
      <c r="D49" s="122" t="s">
        <v>14</v>
      </c>
      <c r="E49" s="194"/>
      <c r="F49" s="142"/>
      <c r="G49" s="142"/>
      <c r="H49" s="142"/>
      <c r="I49" s="142"/>
      <c r="J49" s="142"/>
    </row>
    <row r="50" spans="2:10" ht="15" customHeight="1" x14ac:dyDescent="0.3">
      <c r="B50" s="162" t="s">
        <v>36</v>
      </c>
      <c r="C50" s="120"/>
      <c r="D50" s="120"/>
      <c r="E50" s="120"/>
      <c r="F50" s="142"/>
      <c r="G50" s="142"/>
      <c r="H50" s="142"/>
      <c r="I50" s="142"/>
      <c r="J50" s="142"/>
    </row>
    <row r="51" spans="2:10" ht="15" customHeight="1" x14ac:dyDescent="0.25">
      <c r="B51" s="123" t="s">
        <v>37</v>
      </c>
      <c r="C51" s="163">
        <v>283854689</v>
      </c>
      <c r="D51" s="163">
        <v>302254499</v>
      </c>
      <c r="E51" s="128">
        <v>-6.0999999999999999E-2</v>
      </c>
      <c r="F51" s="142"/>
      <c r="G51" s="142"/>
      <c r="H51" s="142"/>
      <c r="I51" s="142"/>
      <c r="J51" s="142"/>
    </row>
    <row r="52" spans="2:10" ht="15" customHeight="1" x14ac:dyDescent="0.25">
      <c r="B52" s="123" t="s">
        <v>38</v>
      </c>
      <c r="C52" s="163">
        <v>1945366921</v>
      </c>
      <c r="D52" s="163">
        <v>1842181989</v>
      </c>
      <c r="E52" s="128">
        <v>5.6000000000000001E-2</v>
      </c>
      <c r="F52" s="142"/>
      <c r="G52" s="142"/>
      <c r="H52" s="142"/>
      <c r="I52" s="142"/>
      <c r="J52" s="142"/>
    </row>
    <row r="53" spans="2:10" ht="15" customHeight="1" x14ac:dyDescent="0.25">
      <c r="B53" s="134" t="s">
        <v>39</v>
      </c>
      <c r="C53" s="151">
        <v>2229221610</v>
      </c>
      <c r="D53" s="151">
        <v>2144436488</v>
      </c>
      <c r="E53" s="138">
        <v>0.04</v>
      </c>
      <c r="F53" s="142"/>
      <c r="G53" s="142"/>
      <c r="H53" s="142"/>
      <c r="I53" s="142"/>
      <c r="J53" s="142"/>
    </row>
    <row r="54" spans="2:10" ht="15" customHeight="1" x14ac:dyDescent="0.3">
      <c r="B54" s="162" t="s">
        <v>40</v>
      </c>
      <c r="C54" s="120"/>
      <c r="D54" s="120"/>
      <c r="E54" s="164"/>
      <c r="F54" s="142"/>
      <c r="G54" s="142"/>
      <c r="H54" s="142"/>
      <c r="I54" s="142"/>
      <c r="J54" s="142"/>
    </row>
    <row r="55" spans="2:10" ht="15" customHeight="1" x14ac:dyDescent="0.25">
      <c r="B55" s="123" t="s">
        <v>41</v>
      </c>
      <c r="C55" s="163">
        <v>248642211</v>
      </c>
      <c r="D55" s="163">
        <v>244032589</v>
      </c>
      <c r="E55" s="128">
        <v>1.9E-2</v>
      </c>
      <c r="F55" s="142"/>
      <c r="G55" s="142"/>
      <c r="H55" s="142"/>
      <c r="I55" s="142"/>
      <c r="J55" s="142"/>
    </row>
    <row r="56" spans="2:10" ht="15" customHeight="1" x14ac:dyDescent="0.25">
      <c r="B56" s="123" t="s">
        <v>42</v>
      </c>
      <c r="C56" s="163">
        <v>1138031686</v>
      </c>
      <c r="D56" s="163">
        <v>1059655092</v>
      </c>
      <c r="E56" s="128">
        <v>7.3999999999999996E-2</v>
      </c>
      <c r="F56" s="142"/>
      <c r="G56" s="142"/>
      <c r="H56" s="142"/>
      <c r="I56" s="142"/>
      <c r="J56" s="142"/>
    </row>
    <row r="57" spans="2:10" ht="15" customHeight="1" x14ac:dyDescent="0.25">
      <c r="B57" s="134" t="s">
        <v>43</v>
      </c>
      <c r="C57" s="151">
        <v>1386673897</v>
      </c>
      <c r="D57" s="151">
        <v>1303687681</v>
      </c>
      <c r="E57" s="138">
        <v>6.4000000000000001E-2</v>
      </c>
      <c r="F57" s="142"/>
      <c r="G57" s="142"/>
      <c r="H57" s="142"/>
      <c r="I57" s="142"/>
      <c r="J57" s="142"/>
    </row>
    <row r="58" spans="2:10" ht="15" customHeight="1" x14ac:dyDescent="0.3">
      <c r="B58" s="119"/>
      <c r="C58" s="120"/>
      <c r="D58" s="120"/>
      <c r="E58" s="164"/>
      <c r="F58" s="142"/>
      <c r="G58" s="142"/>
      <c r="H58" s="142"/>
      <c r="I58" s="142"/>
      <c r="J58" s="142"/>
    </row>
    <row r="59" spans="2:10" ht="15" customHeight="1" x14ac:dyDescent="0.25">
      <c r="B59" s="123" t="s">
        <v>44</v>
      </c>
      <c r="C59" s="163">
        <v>842520215</v>
      </c>
      <c r="D59" s="163">
        <v>840723242</v>
      </c>
      <c r="E59" s="128">
        <v>2E-3</v>
      </c>
      <c r="F59" s="142"/>
      <c r="G59" s="142"/>
      <c r="H59" s="142"/>
      <c r="I59" s="142"/>
      <c r="J59" s="142"/>
    </row>
    <row r="60" spans="2:10" ht="15" customHeight="1" x14ac:dyDescent="0.25">
      <c r="B60" s="123" t="s">
        <v>45</v>
      </c>
      <c r="C60" s="163">
        <v>27498</v>
      </c>
      <c r="D60" s="163">
        <v>25565</v>
      </c>
      <c r="E60" s="128">
        <v>7.5999999999999998E-2</v>
      </c>
      <c r="F60" s="142"/>
      <c r="G60" s="142"/>
      <c r="H60" s="142"/>
      <c r="I60" s="142"/>
      <c r="J60" s="142"/>
    </row>
    <row r="61" spans="2:10" ht="15" customHeight="1" x14ac:dyDescent="0.25">
      <c r="B61" s="134" t="s">
        <v>46</v>
      </c>
      <c r="C61" s="151">
        <v>842547713</v>
      </c>
      <c r="D61" s="151">
        <v>840748807</v>
      </c>
      <c r="E61" s="138">
        <v>2E-3</v>
      </c>
      <c r="F61" s="142"/>
      <c r="G61" s="142"/>
      <c r="H61" s="142"/>
      <c r="I61" s="142"/>
      <c r="J61" s="142"/>
    </row>
    <row r="62" spans="2:10" ht="15" customHeight="1" x14ac:dyDescent="0.25">
      <c r="B62" s="134" t="s">
        <v>47</v>
      </c>
      <c r="C62" s="151">
        <v>2229221610</v>
      </c>
      <c r="D62" s="151">
        <v>2144436488</v>
      </c>
      <c r="E62" s="138">
        <v>0.04</v>
      </c>
      <c r="F62" s="142"/>
      <c r="G62" s="142"/>
      <c r="H62" s="142"/>
      <c r="I62" s="142"/>
      <c r="J62" s="142"/>
    </row>
    <row r="63" spans="2:10" ht="15" customHeight="1" x14ac:dyDescent="0.25">
      <c r="B63" s="142"/>
      <c r="C63" s="142"/>
      <c r="D63" s="142"/>
      <c r="E63" s="142"/>
      <c r="F63" s="142"/>
      <c r="G63" s="142"/>
      <c r="H63" s="142"/>
      <c r="I63" s="142"/>
      <c r="J63" s="142"/>
    </row>
    <row r="64" spans="2:10" ht="15" customHeight="1" x14ac:dyDescent="0.25">
      <c r="B64" s="142"/>
      <c r="C64" s="142"/>
      <c r="D64" s="142"/>
      <c r="E64" s="142"/>
      <c r="F64" s="142"/>
      <c r="G64" s="142"/>
      <c r="H64" s="142"/>
      <c r="I64" s="142"/>
      <c r="J64" s="142"/>
    </row>
    <row r="65" spans="2:10" ht="15" customHeight="1" thickBot="1" x14ac:dyDescent="0.3">
      <c r="B65" s="139" t="s">
        <v>69</v>
      </c>
      <c r="C65" s="122" t="str">
        <f>+C48</f>
        <v xml:space="preserve">         Dic. 21</v>
      </c>
      <c r="D65" s="122" t="str">
        <f>+D48</f>
        <v xml:space="preserve">         Dic. 20</v>
      </c>
      <c r="E65" s="122" t="s">
        <v>22</v>
      </c>
      <c r="F65" s="142"/>
      <c r="G65" s="142"/>
      <c r="H65" s="142"/>
      <c r="I65" s="142"/>
      <c r="J65" s="142"/>
    </row>
    <row r="66" spans="2:10" ht="15" customHeight="1" x14ac:dyDescent="0.25">
      <c r="B66" s="123" t="s">
        <v>48</v>
      </c>
      <c r="C66" s="127">
        <v>231199221</v>
      </c>
      <c r="D66" s="127">
        <v>185293280</v>
      </c>
      <c r="E66" s="155">
        <v>0.248</v>
      </c>
      <c r="F66" s="142"/>
      <c r="G66" s="142"/>
      <c r="H66" s="142"/>
      <c r="I66" s="142"/>
      <c r="J66" s="142"/>
    </row>
    <row r="67" spans="2:10" ht="15" customHeight="1" x14ac:dyDescent="0.25">
      <c r="B67" s="123" t="s">
        <v>49</v>
      </c>
      <c r="C67" s="127">
        <v>-157685839</v>
      </c>
      <c r="D67" s="127">
        <v>-78371570</v>
      </c>
      <c r="E67" s="155">
        <v>1.012</v>
      </c>
      <c r="F67" s="142"/>
      <c r="G67" s="142"/>
      <c r="H67" s="142"/>
      <c r="I67" s="142"/>
      <c r="J67" s="142"/>
    </row>
    <row r="68" spans="2:10" ht="15" customHeight="1" x14ac:dyDescent="0.25">
      <c r="B68" s="123" t="s">
        <v>50</v>
      </c>
      <c r="C68" s="127">
        <v>-84945654</v>
      </c>
      <c r="D68" s="127">
        <v>-4038882</v>
      </c>
      <c r="E68" s="155" t="s">
        <v>207</v>
      </c>
      <c r="F68" s="142"/>
      <c r="G68" s="142"/>
      <c r="H68" s="142"/>
      <c r="I68" s="142"/>
      <c r="J68" s="142"/>
    </row>
    <row r="69" spans="2:10" ht="15" customHeight="1" x14ac:dyDescent="0.25">
      <c r="B69" s="134" t="s">
        <v>70</v>
      </c>
      <c r="C69" s="137">
        <v>-11432272</v>
      </c>
      <c r="D69" s="137">
        <v>102882828</v>
      </c>
      <c r="E69" s="156">
        <v>-1.111</v>
      </c>
      <c r="F69" s="142"/>
      <c r="G69" s="142"/>
      <c r="H69" s="142"/>
      <c r="I69" s="142"/>
      <c r="J69" s="142"/>
    </row>
    <row r="70" spans="2:10" ht="15" customHeight="1" x14ac:dyDescent="0.25">
      <c r="B70" s="134" t="s">
        <v>51</v>
      </c>
      <c r="C70" s="137">
        <v>163513314</v>
      </c>
      <c r="D70" s="137">
        <v>174945586</v>
      </c>
      <c r="E70" s="156">
        <v>-6.5000000000000002E-2</v>
      </c>
      <c r="F70" s="142"/>
      <c r="G70" s="142"/>
      <c r="H70" s="142"/>
      <c r="I70" s="142"/>
      <c r="J70" s="142"/>
    </row>
    <row r="71" spans="2:10" ht="15" customHeight="1" x14ac:dyDescent="0.25">
      <c r="B71" s="142"/>
      <c r="C71" s="142"/>
      <c r="D71" s="142"/>
      <c r="E71" s="142"/>
      <c r="F71" s="142"/>
      <c r="G71" s="142"/>
      <c r="H71" s="142"/>
      <c r="I71" s="142"/>
      <c r="J71" s="142"/>
    </row>
    <row r="72" spans="2:10" ht="15" customHeight="1" x14ac:dyDescent="0.25">
      <c r="B72" s="142" t="s">
        <v>52</v>
      </c>
      <c r="C72" s="142"/>
      <c r="D72" s="142"/>
      <c r="E72" s="142"/>
      <c r="F72" s="142"/>
      <c r="G72" s="142"/>
      <c r="H72" s="142"/>
      <c r="I72" s="142"/>
      <c r="J72" s="142"/>
    </row>
    <row r="73" spans="2:10" ht="15" customHeight="1" thickBot="1" x14ac:dyDescent="0.3">
      <c r="B73" s="165"/>
      <c r="C73" s="166"/>
      <c r="D73" s="167" t="str">
        <f>+C65</f>
        <v xml:space="preserve">         Dic. 21</v>
      </c>
      <c r="E73" s="167" t="str">
        <f>D48</f>
        <v xml:space="preserve">         Dic. 20</v>
      </c>
      <c r="F73" s="142"/>
      <c r="G73" s="142"/>
      <c r="H73" s="142"/>
      <c r="I73" s="142"/>
      <c r="J73" s="142"/>
    </row>
    <row r="74" spans="2:10" ht="15" customHeight="1" x14ac:dyDescent="0.3">
      <c r="B74" s="134" t="s">
        <v>53</v>
      </c>
      <c r="C74" s="168"/>
      <c r="D74" s="120"/>
      <c r="E74" s="120"/>
      <c r="F74" s="142"/>
      <c r="G74" s="142"/>
      <c r="H74" s="142"/>
      <c r="I74" s="142"/>
      <c r="J74" s="142"/>
    </row>
    <row r="75" spans="2:10" ht="15" customHeight="1" x14ac:dyDescent="0.25">
      <c r="B75" s="123" t="s">
        <v>54</v>
      </c>
      <c r="C75" s="169" t="s">
        <v>55</v>
      </c>
      <c r="D75" s="170">
        <v>1.1399999999999999</v>
      </c>
      <c r="E75" s="170">
        <v>1.24</v>
      </c>
      <c r="F75" s="142"/>
      <c r="G75" s="142"/>
      <c r="H75" s="142"/>
      <c r="I75" s="142"/>
      <c r="J75" s="142"/>
    </row>
    <row r="76" spans="2:10" ht="15" customHeight="1" x14ac:dyDescent="0.25">
      <c r="B76" s="123" t="s">
        <v>56</v>
      </c>
      <c r="C76" s="169" t="s">
        <v>55</v>
      </c>
      <c r="D76" s="170">
        <v>0.66</v>
      </c>
      <c r="E76" s="170">
        <v>0.72</v>
      </c>
      <c r="F76" s="142"/>
      <c r="G76" s="142"/>
      <c r="H76" s="142"/>
      <c r="I76" s="142"/>
      <c r="J76" s="142"/>
    </row>
    <row r="77" spans="2:10" ht="15" customHeight="1" x14ac:dyDescent="0.25">
      <c r="B77" s="134" t="s">
        <v>57</v>
      </c>
      <c r="C77" s="168"/>
      <c r="D77" s="171"/>
      <c r="E77" s="171"/>
      <c r="F77" s="142"/>
      <c r="G77" s="142"/>
      <c r="H77" s="142"/>
      <c r="I77" s="142"/>
      <c r="J77" s="142"/>
    </row>
    <row r="78" spans="2:10" ht="15" customHeight="1" x14ac:dyDescent="0.25">
      <c r="B78" s="123" t="s">
        <v>58</v>
      </c>
      <c r="C78" s="169" t="s">
        <v>55</v>
      </c>
      <c r="D78" s="170">
        <v>1.65</v>
      </c>
      <c r="E78" s="170">
        <v>1.55</v>
      </c>
      <c r="F78" s="142"/>
      <c r="G78" s="142"/>
      <c r="H78" s="142"/>
      <c r="I78" s="142"/>
      <c r="J78" s="142"/>
    </row>
    <row r="79" spans="2:10" ht="15" customHeight="1" x14ac:dyDescent="0.25">
      <c r="B79" s="123" t="s">
        <v>59</v>
      </c>
      <c r="C79" s="169" t="s">
        <v>55</v>
      </c>
      <c r="D79" s="170">
        <v>0.17929999999999999</v>
      </c>
      <c r="E79" s="170">
        <v>0.18720000000000001</v>
      </c>
      <c r="F79" s="142"/>
      <c r="G79" s="142"/>
      <c r="H79" s="142"/>
      <c r="I79" s="142"/>
      <c r="J79" s="142"/>
    </row>
    <row r="80" spans="2:10" ht="15" customHeight="1" x14ac:dyDescent="0.25">
      <c r="B80" s="123" t="s">
        <v>60</v>
      </c>
      <c r="C80" s="169" t="s">
        <v>55</v>
      </c>
      <c r="D80" s="170">
        <v>0.82069999999999999</v>
      </c>
      <c r="E80" s="170">
        <v>0.81279999999999997</v>
      </c>
      <c r="F80" s="142"/>
      <c r="G80" s="142"/>
      <c r="H80" s="142"/>
      <c r="I80" s="142"/>
      <c r="J80" s="142"/>
    </row>
    <row r="81" spans="2:10" ht="15" customHeight="1" x14ac:dyDescent="0.25">
      <c r="B81" s="123" t="s">
        <v>61</v>
      </c>
      <c r="C81" s="169" t="s">
        <v>55</v>
      </c>
      <c r="D81" s="170">
        <v>5.32</v>
      </c>
      <c r="E81" s="170">
        <v>5.1100000000000003</v>
      </c>
      <c r="F81" s="142"/>
      <c r="G81" s="142"/>
      <c r="H81" s="142"/>
      <c r="I81" s="142"/>
      <c r="J81" s="142"/>
    </row>
    <row r="82" spans="2:10" ht="15" customHeight="1" x14ac:dyDescent="0.25">
      <c r="B82" s="134" t="s">
        <v>62</v>
      </c>
      <c r="C82" s="168"/>
      <c r="D82" s="171"/>
      <c r="E82" s="171"/>
      <c r="F82" s="142"/>
      <c r="G82" s="142"/>
      <c r="H82" s="142"/>
      <c r="I82" s="142"/>
      <c r="J82" s="142"/>
    </row>
    <row r="83" spans="2:10" ht="15" customHeight="1" x14ac:dyDescent="0.25">
      <c r="B83" s="172" t="s">
        <v>63</v>
      </c>
      <c r="C83" s="169" t="s">
        <v>15</v>
      </c>
      <c r="D83" s="170">
        <v>11.959999999999999</v>
      </c>
      <c r="E83" s="170">
        <v>13.29</v>
      </c>
      <c r="F83" s="142"/>
      <c r="G83" s="142"/>
      <c r="H83" s="142"/>
      <c r="I83" s="142"/>
      <c r="J83" s="142"/>
    </row>
    <row r="84" spans="2:10" ht="15" customHeight="1" x14ac:dyDescent="0.25">
      <c r="B84" s="123" t="s">
        <v>64</v>
      </c>
      <c r="C84" s="169" t="s">
        <v>15</v>
      </c>
      <c r="D84" s="170">
        <v>4.5999999999999996</v>
      </c>
      <c r="E84" s="170">
        <v>4.7600000000000007</v>
      </c>
      <c r="F84" s="142"/>
      <c r="G84" s="142"/>
      <c r="H84" s="142"/>
      <c r="I84" s="142"/>
      <c r="J84" s="142"/>
    </row>
    <row r="85" spans="2:10" ht="15" customHeight="1" x14ac:dyDescent="0.25">
      <c r="B85" s="123" t="s">
        <v>65</v>
      </c>
      <c r="C85" s="169" t="s">
        <v>66</v>
      </c>
      <c r="D85" s="170">
        <v>16.45</v>
      </c>
      <c r="E85" s="170">
        <v>16.13</v>
      </c>
      <c r="F85" s="142"/>
      <c r="G85" s="142"/>
      <c r="H85" s="142"/>
      <c r="I85" s="142"/>
      <c r="J85" s="142"/>
    </row>
    <row r="86" spans="2:10" ht="15" customHeight="1" x14ac:dyDescent="0.25">
      <c r="B86" s="123" t="s">
        <v>199</v>
      </c>
      <c r="C86" s="169" t="s">
        <v>15</v>
      </c>
      <c r="D86" s="170">
        <v>11.09</v>
      </c>
      <c r="E86" s="170">
        <v>7.8</v>
      </c>
      <c r="F86" s="142"/>
      <c r="G86" s="142"/>
      <c r="H86" s="142"/>
      <c r="I86" s="142"/>
      <c r="J86" s="142"/>
    </row>
  </sheetData>
  <mergeCells count="8">
    <mergeCell ref="E48:E49"/>
    <mergeCell ref="C19:D19"/>
    <mergeCell ref="F19:G19"/>
    <mergeCell ref="I19:J19"/>
    <mergeCell ref="D20:D21"/>
    <mergeCell ref="G20:G21"/>
    <mergeCell ref="I20:I21"/>
    <mergeCell ref="J20:J21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96"/>
  <sheetViews>
    <sheetView showGridLines="0" workbookViewId="0">
      <selection activeCell="C4" sqref="C4"/>
    </sheetView>
  </sheetViews>
  <sheetFormatPr baseColWidth="10" defaultColWidth="11.44140625" defaultRowHeight="15" customHeight="1" x14ac:dyDescent="0.25"/>
  <cols>
    <col min="1" max="1" width="4" style="2" customWidth="1"/>
    <col min="2" max="2" width="72.44140625" style="2" bestFit="1" customWidth="1"/>
    <col min="3" max="4" width="12.6640625" style="2" customWidth="1"/>
    <col min="5" max="5" width="15.5546875" style="2" customWidth="1"/>
    <col min="6" max="9" width="11.44140625" style="2"/>
    <col min="10" max="10" width="14.109375" style="2" bestFit="1" customWidth="1"/>
    <col min="11" max="16384" width="11.44140625" style="2"/>
  </cols>
  <sheetData>
    <row r="1" spans="1:10" ht="15" customHeight="1" x14ac:dyDescent="0.25">
      <c r="A1" s="1" t="s">
        <v>129</v>
      </c>
    </row>
    <row r="2" spans="1:10" ht="15" customHeight="1" x14ac:dyDescent="0.25">
      <c r="B2" s="38" t="s">
        <v>71</v>
      </c>
    </row>
    <row r="3" spans="1:10" s="3" customFormat="1" ht="15" customHeight="1" thickBot="1" x14ac:dyDescent="0.35">
      <c r="B3" s="39" t="s">
        <v>72</v>
      </c>
      <c r="C3" s="49" t="s">
        <v>208</v>
      </c>
      <c r="D3" s="49" t="s">
        <v>209</v>
      </c>
      <c r="E3" s="49" t="str">
        <f>' Ultimos Resultados Aguas Andin'!E3</f>
        <v xml:space="preserve">      % Var.</v>
      </c>
      <c r="F3" s="48"/>
      <c r="G3" s="49" t="str">
        <f>' Ultimos Resultados Aguas Andin'!G3</f>
        <v>2021 / 2020</v>
      </c>
    </row>
    <row r="4" spans="1:10" ht="15" customHeight="1" x14ac:dyDescent="0.3">
      <c r="B4" s="26" t="s">
        <v>73</v>
      </c>
      <c r="C4" s="50">
        <f>' Ultimos Resultados Aguas Andin'!C4</f>
        <v>506459633</v>
      </c>
      <c r="D4" s="50">
        <f>' Ultimos Resultados Aguas Andin'!D4</f>
        <v>478773563</v>
      </c>
      <c r="E4" s="51">
        <f>' Ultimos Resultados Aguas Andin'!E4</f>
        <v>5.8000000000000003E-2</v>
      </c>
      <c r="F4" s="48"/>
      <c r="G4" s="50">
        <f>' Ultimos Resultados Aguas Andin'!G4</f>
        <v>27686070</v>
      </c>
    </row>
    <row r="5" spans="1:10" s="8" customFormat="1" ht="15" customHeight="1" x14ac:dyDescent="0.3">
      <c r="B5" s="26" t="s">
        <v>74</v>
      </c>
      <c r="C5" s="50">
        <f>' Ultimos Resultados Aguas Andin'!C5</f>
        <v>-243641242</v>
      </c>
      <c r="D5" s="50">
        <f>' Ultimos Resultados Aguas Andin'!D5</f>
        <v>-243441636</v>
      </c>
      <c r="E5" s="51">
        <f>' Ultimos Resultados Aguas Andin'!E5</f>
        <v>1E-3</v>
      </c>
      <c r="F5" s="48"/>
      <c r="G5" s="50">
        <f>' Ultimos Resultados Aguas Andin'!G5</f>
        <v>-199606</v>
      </c>
    </row>
    <row r="6" spans="1:10" s="8" customFormat="1" ht="15" customHeight="1" x14ac:dyDescent="0.3">
      <c r="B6" s="38" t="s">
        <v>4</v>
      </c>
      <c r="C6" s="52">
        <f>' Ultimos Resultados Aguas Andin'!C6</f>
        <v>262818391</v>
      </c>
      <c r="D6" s="52">
        <f>' Ultimos Resultados Aguas Andin'!D6</f>
        <v>235331927</v>
      </c>
      <c r="E6" s="53">
        <f>' Ultimos Resultados Aguas Andin'!E6</f>
        <v>0.11700000000000001</v>
      </c>
      <c r="F6" s="54"/>
      <c r="G6" s="52">
        <f>' Ultimos Resultados Aguas Andin'!G6</f>
        <v>27486464</v>
      </c>
      <c r="J6" s="10"/>
    </row>
    <row r="7" spans="1:10" s="8" customFormat="1" ht="15" customHeight="1" x14ac:dyDescent="0.3">
      <c r="B7" s="26" t="s">
        <v>75</v>
      </c>
      <c r="C7" s="50">
        <f>' Ultimos Resultados Aguas Andin'!C7</f>
        <v>-69195160</v>
      </c>
      <c r="D7" s="50">
        <f>' Ultimos Resultados Aguas Andin'!D7</f>
        <v>-67134809</v>
      </c>
      <c r="E7" s="51">
        <f>' Ultimos Resultados Aguas Andin'!E7</f>
        <v>3.1E-2</v>
      </c>
      <c r="F7" s="48"/>
      <c r="G7" s="50">
        <f>' Ultimos Resultados Aguas Andin'!G7</f>
        <v>-2060351</v>
      </c>
      <c r="J7" s="10"/>
    </row>
    <row r="8" spans="1:10" s="8" customFormat="1" ht="15" customHeight="1" x14ac:dyDescent="0.3">
      <c r="B8" s="38" t="s">
        <v>76</v>
      </c>
      <c r="C8" s="52">
        <f>' Ultimos Resultados Aguas Andin'!C8</f>
        <v>193623231</v>
      </c>
      <c r="D8" s="52">
        <f>' Ultimos Resultados Aguas Andin'!D8</f>
        <v>168197118</v>
      </c>
      <c r="E8" s="53">
        <f>' Ultimos Resultados Aguas Andin'!E8</f>
        <v>0.151</v>
      </c>
      <c r="F8" s="54"/>
      <c r="G8" s="52">
        <f>' Ultimos Resultados Aguas Andin'!G8</f>
        <v>25426113</v>
      </c>
      <c r="J8" s="10"/>
    </row>
    <row r="9" spans="1:10" s="8" customFormat="1" ht="15" customHeight="1" x14ac:dyDescent="0.3">
      <c r="B9" s="6" t="s">
        <v>200</v>
      </c>
      <c r="C9" s="50">
        <f>' Ultimos Resultados Aguas Andin'!C9</f>
        <v>3629839</v>
      </c>
      <c r="D9" s="50">
        <f>' Ultimos Resultados Aguas Andin'!D9</f>
        <v>-3967292</v>
      </c>
      <c r="E9" s="55">
        <f>' Ultimos Resultados Aguas Andin'!E9</f>
        <v>-1.915</v>
      </c>
      <c r="F9" s="54"/>
      <c r="G9" s="50">
        <f>' Ultimos Resultados Aguas Andin'!G9</f>
        <v>7597131</v>
      </c>
      <c r="J9" s="10"/>
    </row>
    <row r="10" spans="1:10" s="8" customFormat="1" ht="15" customHeight="1" x14ac:dyDescent="0.3">
      <c r="B10" s="6" t="s">
        <v>201</v>
      </c>
      <c r="C10" s="50">
        <f>' Ultimos Resultados Aguas Andin'!C10</f>
        <v>0</v>
      </c>
      <c r="D10" s="50">
        <f>' Ultimos Resultados Aguas Andin'!D10</f>
        <v>-1404946</v>
      </c>
      <c r="E10" s="55"/>
      <c r="F10" s="54"/>
      <c r="G10" s="50">
        <f>' Ultimos Resultados Aguas Andin'!G10</f>
        <v>1404946</v>
      </c>
      <c r="J10" s="10"/>
    </row>
    <row r="11" spans="1:10" s="8" customFormat="1" ht="15" customHeight="1" x14ac:dyDescent="0.3">
      <c r="B11" s="26" t="s">
        <v>77</v>
      </c>
      <c r="C11" s="56">
        <f>' Ultimos Resultados Aguas Andin'!C11</f>
        <v>-76943650</v>
      </c>
      <c r="D11" s="56">
        <f>' Ultimos Resultados Aguas Andin'!D11</f>
        <v>-47143249</v>
      </c>
      <c r="E11" s="55">
        <f>' Ultimos Resultados Aguas Andin'!E11</f>
        <v>0.63200000000000001</v>
      </c>
      <c r="F11" s="57"/>
      <c r="G11" s="56">
        <f>' Ultimos Resultados Aguas Andin'!G11</f>
        <v>-29800401</v>
      </c>
    </row>
    <row r="12" spans="1:10" s="8" customFormat="1" ht="15" customHeight="1" x14ac:dyDescent="0.3">
      <c r="B12" s="26" t="s">
        <v>78</v>
      </c>
      <c r="C12" s="50">
        <f>' Ultimos Resultados Aguas Andin'!C12</f>
        <v>-19662886</v>
      </c>
      <c r="D12" s="50">
        <f>' Ultimos Resultados Aguas Andin'!D12</f>
        <v>-26987579</v>
      </c>
      <c r="E12" s="51">
        <f>' Ultimos Resultados Aguas Andin'!E12</f>
        <v>-0.27100000000000002</v>
      </c>
      <c r="F12" s="48"/>
      <c r="G12" s="50">
        <f>' Ultimos Resultados Aguas Andin'!G12</f>
        <v>7324693</v>
      </c>
      <c r="J12" s="10"/>
    </row>
    <row r="13" spans="1:10" s="8" customFormat="1" ht="15" customHeight="1" x14ac:dyDescent="0.3">
      <c r="B13" s="26" t="s">
        <v>194</v>
      </c>
      <c r="C13" s="50">
        <f>' Ultimos Resultados Aguas Andin'!C13</f>
        <v>0</v>
      </c>
      <c r="D13" s="50">
        <f>' Ultimos Resultados Aguas Andin'!D13</f>
        <v>11671443</v>
      </c>
      <c r="E13" s="51">
        <f>' Ultimos Resultados Aguas Andin'!E13</f>
        <v>-1</v>
      </c>
      <c r="F13" s="48"/>
      <c r="G13" s="50">
        <f>' Ultimos Resultados Aguas Andin'!G13</f>
        <v>-11671443</v>
      </c>
      <c r="J13" s="10"/>
    </row>
    <row r="14" spans="1:10" s="8" customFormat="1" ht="15" customHeight="1" x14ac:dyDescent="0.3">
      <c r="B14" s="38" t="s">
        <v>79</v>
      </c>
      <c r="C14" s="52">
        <f>' Ultimos Resultados Aguas Andin'!C15</f>
        <v>100644529</v>
      </c>
      <c r="D14" s="52">
        <f>' Ultimos Resultados Aguas Andin'!D15</f>
        <v>98691668</v>
      </c>
      <c r="E14" s="53">
        <f>' Ultimos Resultados Aguas Andin'!E15</f>
        <v>0.02</v>
      </c>
      <c r="F14" s="54"/>
      <c r="G14" s="52">
        <f>' Ultimos Resultados Aguas Andin'!G15</f>
        <v>1952861</v>
      </c>
    </row>
    <row r="16" spans="1:10" s="8" customFormat="1" ht="15" customHeight="1" x14ac:dyDescent="0.3">
      <c r="A16" s="1" t="s">
        <v>130</v>
      </c>
      <c r="B16" s="2"/>
      <c r="C16" s="12"/>
      <c r="D16" s="12"/>
      <c r="E16" s="13"/>
      <c r="F16" s="14"/>
      <c r="G16" s="12"/>
    </row>
    <row r="17" spans="2:13" s="8" customFormat="1" ht="15" customHeight="1" x14ac:dyDescent="0.3">
      <c r="B17" s="11"/>
      <c r="C17" s="12"/>
      <c r="D17" s="12"/>
      <c r="E17" s="13"/>
      <c r="F17" s="14"/>
      <c r="G17" s="12"/>
    </row>
    <row r="18" spans="2:13" s="8" customFormat="1" ht="15" customHeight="1" thickBot="1" x14ac:dyDescent="0.35">
      <c r="B18" s="5"/>
      <c r="C18" s="199" t="str">
        <f>C3</f>
        <v>Dec. 21</v>
      </c>
      <c r="D18" s="199"/>
      <c r="E18" s="48"/>
      <c r="F18" s="199" t="str">
        <f>D3</f>
        <v>Dec. 20</v>
      </c>
      <c r="G18" s="199"/>
      <c r="H18" s="48"/>
      <c r="I18" s="199" t="s">
        <v>80</v>
      </c>
      <c r="J18" s="199"/>
      <c r="K18" s="15"/>
    </row>
    <row r="19" spans="2:13" s="8" customFormat="1" ht="15" customHeight="1" x14ac:dyDescent="0.3">
      <c r="B19" s="5"/>
      <c r="C19" s="58" t="s">
        <v>81</v>
      </c>
      <c r="D19" s="200" t="s">
        <v>179</v>
      </c>
      <c r="E19" s="48"/>
      <c r="F19" s="58" t="s">
        <v>81</v>
      </c>
      <c r="G19" s="200" t="s">
        <v>179</v>
      </c>
      <c r="H19" s="48"/>
      <c r="I19" s="200" t="s">
        <v>82</v>
      </c>
      <c r="J19" s="200" t="s">
        <v>15</v>
      </c>
      <c r="K19" s="15"/>
    </row>
    <row r="20" spans="2:13" s="8" customFormat="1" ht="15" customHeight="1" thickBot="1" x14ac:dyDescent="0.35">
      <c r="B20" s="5"/>
      <c r="C20" s="49" t="s">
        <v>82</v>
      </c>
      <c r="D20" s="198"/>
      <c r="E20" s="48"/>
      <c r="F20" s="49" t="s">
        <v>82</v>
      </c>
      <c r="G20" s="198"/>
      <c r="H20" s="48"/>
      <c r="I20" s="198"/>
      <c r="J20" s="198"/>
      <c r="K20" s="15"/>
    </row>
    <row r="21" spans="2:13" s="8" customFormat="1" ht="15" customHeight="1" x14ac:dyDescent="0.3">
      <c r="B21" s="6" t="s">
        <v>83</v>
      </c>
      <c r="C21" s="59">
        <f>' Ultimos Resultados Aguas Andin'!C22</f>
        <v>205176457</v>
      </c>
      <c r="D21" s="51">
        <f>' Ultimos Resultados Aguas Andin'!D22</f>
        <v>0.40500000000000003</v>
      </c>
      <c r="E21" s="48"/>
      <c r="F21" s="59">
        <f>' Ultimos Resultados Aguas Andin'!F22</f>
        <v>195787729</v>
      </c>
      <c r="G21" s="51">
        <f>' Ultimos Resultados Aguas Andin'!G22</f>
        <v>0.40899999999999997</v>
      </c>
      <c r="H21" s="48"/>
      <c r="I21" s="50">
        <f>C21-F21</f>
        <v>9388728</v>
      </c>
      <c r="J21" s="51">
        <f>C21/F21-1</f>
        <v>4.7953607960793176E-2</v>
      </c>
      <c r="K21" s="15"/>
      <c r="M21" s="17"/>
    </row>
    <row r="22" spans="2:13" s="8" customFormat="1" ht="15" customHeight="1" x14ac:dyDescent="0.3">
      <c r="B22" s="6" t="s">
        <v>84</v>
      </c>
      <c r="C22" s="59">
        <f>' Ultimos Resultados Aguas Andin'!C23</f>
        <v>229804561</v>
      </c>
      <c r="D22" s="51">
        <f>' Ultimos Resultados Aguas Andin'!D23</f>
        <v>0.45400000000000001</v>
      </c>
      <c r="E22" s="48"/>
      <c r="F22" s="59">
        <f>' Ultimos Resultados Aguas Andin'!F23</f>
        <v>219123955</v>
      </c>
      <c r="G22" s="51">
        <f>' Ultimos Resultados Aguas Andin'!G23</f>
        <v>0.45800000000000002</v>
      </c>
      <c r="H22" s="48"/>
      <c r="I22" s="50">
        <f>C22-F22</f>
        <v>10680606</v>
      </c>
      <c r="J22" s="51">
        <f>C22/F22-1</f>
        <v>4.8742302045433616E-2</v>
      </c>
      <c r="K22" s="15"/>
      <c r="M22" s="17"/>
    </row>
    <row r="23" spans="2:13" s="8" customFormat="1" ht="15" customHeight="1" x14ac:dyDescent="0.3">
      <c r="B23" s="6" t="s">
        <v>85</v>
      </c>
      <c r="C23" s="59">
        <f>' Ultimos Resultados Aguas Andin'!C24</f>
        <v>13821438</v>
      </c>
      <c r="D23" s="51">
        <f>' Ultimos Resultados Aguas Andin'!D24</f>
        <v>2.7E-2</v>
      </c>
      <c r="E23" s="48"/>
      <c r="F23" s="59">
        <f>' Ultimos Resultados Aguas Andin'!F24</f>
        <v>13004110</v>
      </c>
      <c r="G23" s="51">
        <f>' Ultimos Resultados Aguas Andin'!G24</f>
        <v>2.7E-2</v>
      </c>
      <c r="H23" s="48"/>
      <c r="I23" s="50">
        <f>C23-F23</f>
        <v>817328</v>
      </c>
      <c r="J23" s="51">
        <f>C23/F23-1</f>
        <v>6.2851513867538733E-2</v>
      </c>
      <c r="K23" s="15"/>
      <c r="M23" s="17"/>
    </row>
    <row r="24" spans="2:13" s="8" customFormat="1" ht="15" customHeight="1" thickBot="1" x14ac:dyDescent="0.35">
      <c r="B24" s="6" t="s">
        <v>86</v>
      </c>
      <c r="C24" s="60">
        <f>' Ultimos Resultados Aguas Andin'!C25</f>
        <v>57657177</v>
      </c>
      <c r="D24" s="61">
        <f>' Ultimos Resultados Aguas Andin'!D25</f>
        <v>0.114</v>
      </c>
      <c r="E24" s="48"/>
      <c r="F24" s="60">
        <f>' Ultimos Resultados Aguas Andin'!F25</f>
        <v>50857769</v>
      </c>
      <c r="G24" s="61">
        <f>' Ultimos Resultados Aguas Andin'!G25</f>
        <v>0.106</v>
      </c>
      <c r="H24" s="48"/>
      <c r="I24" s="62">
        <f>C24-F24</f>
        <v>6799408</v>
      </c>
      <c r="J24" s="61">
        <f>C24/F24-1</f>
        <v>0.13369457869848755</v>
      </c>
      <c r="K24" s="15"/>
      <c r="M24" s="17"/>
    </row>
    <row r="25" spans="2:13" s="8" customFormat="1" ht="15" customHeight="1" thickTop="1" x14ac:dyDescent="0.3">
      <c r="B25" s="9" t="s">
        <v>20</v>
      </c>
      <c r="C25" s="52">
        <f>' Ultimos Resultados Aguas Andin'!C26</f>
        <v>506459633</v>
      </c>
      <c r="D25" s="53">
        <f>' Ultimos Resultados Aguas Andin'!D26</f>
        <v>1</v>
      </c>
      <c r="E25" s="48"/>
      <c r="F25" s="52">
        <f>' Ultimos Resultados Aguas Andin'!F26</f>
        <v>478773563</v>
      </c>
      <c r="G25" s="53">
        <f>' Ultimos Resultados Aguas Andin'!G26</f>
        <v>1</v>
      </c>
      <c r="H25" s="48"/>
      <c r="I25" s="52">
        <f>C25-F25</f>
        <v>27686070</v>
      </c>
      <c r="J25" s="53">
        <f>C25/F25-1</f>
        <v>5.7827065108856157E-2</v>
      </c>
      <c r="K25" s="15"/>
      <c r="L25" s="18"/>
      <c r="M25" s="17"/>
    </row>
    <row r="26" spans="2:13" s="8" customFormat="1" ht="15" customHeight="1" x14ac:dyDescent="0.25">
      <c r="K26" s="15"/>
    </row>
    <row r="27" spans="2:13" s="8" customFormat="1" ht="15" customHeight="1" thickBot="1" x14ac:dyDescent="0.35">
      <c r="B27" s="39" t="s">
        <v>87</v>
      </c>
      <c r="C27" s="49" t="str">
        <f>C3</f>
        <v>Dec. 21</v>
      </c>
      <c r="D27" s="49" t="str">
        <f>D3</f>
        <v>Dec. 20</v>
      </c>
      <c r="E27" s="49" t="s">
        <v>22</v>
      </c>
      <c r="F27" s="48"/>
      <c r="G27" s="49" t="s">
        <v>92</v>
      </c>
      <c r="K27" s="15"/>
    </row>
    <row r="28" spans="2:13" s="8" customFormat="1" ht="15" customHeight="1" x14ac:dyDescent="0.3">
      <c r="B28" s="26" t="s">
        <v>83</v>
      </c>
      <c r="C28" s="59">
        <f>' Ultimos Resultados Aguas Andin'!C29</f>
        <v>535738</v>
      </c>
      <c r="D28" s="59">
        <f>' Ultimos Resultados Aguas Andin'!D29</f>
        <v>533881</v>
      </c>
      <c r="E28" s="51">
        <f>' Ultimos Resultados Aguas Andin'!E29</f>
        <v>3.0000000000000001E-3</v>
      </c>
      <c r="F28" s="48"/>
      <c r="G28" s="50">
        <f>' Ultimos Resultados Aguas Andin'!G29</f>
        <v>1857</v>
      </c>
      <c r="I28" s="10"/>
    </row>
    <row r="29" spans="2:13" s="8" customFormat="1" ht="15" customHeight="1" x14ac:dyDescent="0.3">
      <c r="B29" s="26" t="s">
        <v>88</v>
      </c>
      <c r="C29" s="59">
        <f>' Ultimos Resultados Aguas Andin'!C30</f>
        <v>514218</v>
      </c>
      <c r="D29" s="59">
        <f>' Ultimos Resultados Aguas Andin'!D30</f>
        <v>511267</v>
      </c>
      <c r="E29" s="51">
        <f>' Ultimos Resultados Aguas Andin'!E30</f>
        <v>6.0000000000000001E-3</v>
      </c>
      <c r="F29" s="48"/>
      <c r="G29" s="50">
        <f>' Ultimos Resultados Aguas Andin'!G30</f>
        <v>2951</v>
      </c>
      <c r="I29" s="10"/>
    </row>
    <row r="30" spans="2:13" s="8" customFormat="1" ht="15" customHeight="1" x14ac:dyDescent="0.3">
      <c r="B30" s="26" t="s">
        <v>89</v>
      </c>
      <c r="C30" s="59">
        <f>' Ultimos Resultados Aguas Andin'!C31</f>
        <v>443596</v>
      </c>
      <c r="D30" s="59">
        <f>' Ultimos Resultados Aguas Andin'!D31</f>
        <v>440582</v>
      </c>
      <c r="E30" s="51">
        <f>' Ultimos Resultados Aguas Andin'!E31</f>
        <v>7.0000000000000001E-3</v>
      </c>
      <c r="F30" s="48"/>
      <c r="G30" s="50">
        <f>' Ultimos Resultados Aguas Andin'!G31</f>
        <v>3014</v>
      </c>
      <c r="I30" s="10"/>
    </row>
    <row r="31" spans="2:13" ht="15" customHeight="1" x14ac:dyDescent="0.25">
      <c r="B31" s="26" t="s">
        <v>90</v>
      </c>
      <c r="C31" s="59">
        <f>' Ultimos Resultados Aguas Andin'!C32</f>
        <v>124277</v>
      </c>
      <c r="D31" s="59">
        <f>' Ultimos Resultados Aguas Andin'!D32</f>
        <v>124710</v>
      </c>
      <c r="E31" s="51">
        <f>' Ultimos Resultados Aguas Andin'!E32</f>
        <v>-3.0000000000000001E-3</v>
      </c>
      <c r="F31" s="63"/>
      <c r="G31" s="50">
        <f>' Ultimos Resultados Aguas Andin'!G32</f>
        <v>-433</v>
      </c>
    </row>
    <row r="32" spans="2:13" ht="15" customHeight="1" x14ac:dyDescent="0.25">
      <c r="B32" s="40"/>
      <c r="C32" s="5"/>
      <c r="D32" s="5"/>
      <c r="E32" s="5"/>
      <c r="F32" s="5"/>
      <c r="G32" s="5"/>
    </row>
    <row r="33" spans="2:7" ht="15" customHeight="1" thickBot="1" x14ac:dyDescent="0.35">
      <c r="B33" s="39" t="s">
        <v>91</v>
      </c>
      <c r="C33" s="49" t="str">
        <f>C3</f>
        <v>Dec. 21</v>
      </c>
      <c r="D33" s="49" t="str">
        <f>D3</f>
        <v>Dec. 20</v>
      </c>
      <c r="E33" s="49" t="s">
        <v>22</v>
      </c>
      <c r="F33" s="48"/>
      <c r="G33" s="86" t="s">
        <v>92</v>
      </c>
    </row>
    <row r="34" spans="2:7" ht="15" customHeight="1" x14ac:dyDescent="0.3">
      <c r="B34" s="26" t="s">
        <v>83</v>
      </c>
      <c r="C34" s="59">
        <f>' Ultimos Resultados Aguas Andin'!C35</f>
        <v>2207344</v>
      </c>
      <c r="D34" s="59">
        <f>' Ultimos Resultados Aguas Andin'!D35</f>
        <v>2169426</v>
      </c>
      <c r="E34" s="51">
        <f>' Ultimos Resultados Aguas Andin'!E35</f>
        <v>1.7000000000000001E-2</v>
      </c>
      <c r="F34" s="48"/>
      <c r="G34" s="50">
        <f>' Ultimos Resultados Aguas Andin'!G35</f>
        <v>37918</v>
      </c>
    </row>
    <row r="35" spans="2:7" ht="15" customHeight="1" x14ac:dyDescent="0.3">
      <c r="B35" s="26" t="s">
        <v>88</v>
      </c>
      <c r="C35" s="59">
        <f>' Ultimos Resultados Aguas Andin'!C36</f>
        <v>2162909</v>
      </c>
      <c r="D35" s="59">
        <f>' Ultimos Resultados Aguas Andin'!D36</f>
        <v>2125918</v>
      </c>
      <c r="E35" s="51">
        <f>' Ultimos Resultados Aguas Andin'!E36</f>
        <v>1.7000000000000001E-2</v>
      </c>
      <c r="F35" s="48"/>
      <c r="G35" s="50">
        <f>' Ultimos Resultados Aguas Andin'!G36</f>
        <v>36991</v>
      </c>
    </row>
    <row r="36" spans="2:7" ht="15" customHeight="1" x14ac:dyDescent="0.25">
      <c r="B36" s="27"/>
      <c r="C36" s="27"/>
      <c r="D36" s="28"/>
      <c r="E36" s="28"/>
      <c r="F36" s="28"/>
      <c r="G36" s="28"/>
    </row>
    <row r="37" spans="2:7" ht="15" customHeight="1" x14ac:dyDescent="0.25">
      <c r="B37" s="29" t="s">
        <v>29</v>
      </c>
      <c r="C37" s="27"/>
      <c r="D37" s="28"/>
      <c r="E37" s="28"/>
      <c r="F37" s="28"/>
      <c r="G37" s="28"/>
    </row>
    <row r="38" spans="2:7" ht="15" customHeight="1" x14ac:dyDescent="0.25">
      <c r="B38" s="29"/>
      <c r="C38" s="27"/>
      <c r="D38" s="28"/>
      <c r="E38" s="28"/>
      <c r="F38" s="28"/>
      <c r="G38" s="28"/>
    </row>
    <row r="39" spans="2:7" ht="13.8" thickBot="1" x14ac:dyDescent="0.3">
      <c r="B39" s="20" t="s">
        <v>93</v>
      </c>
      <c r="C39" s="64" t="str">
        <f>C3</f>
        <v>Dec. 21</v>
      </c>
      <c r="D39" s="64" t="str">
        <f>D3</f>
        <v>Dec. 20</v>
      </c>
      <c r="E39" s="64" t="s">
        <v>22</v>
      </c>
      <c r="F39" s="28"/>
      <c r="G39" s="28"/>
    </row>
    <row r="40" spans="2:7" ht="13.2" x14ac:dyDescent="0.25">
      <c r="B40" s="6" t="s">
        <v>31</v>
      </c>
      <c r="C40" s="59">
        <f>' Ultimos Resultados Aguas Andin'!C41</f>
        <v>17138411</v>
      </c>
      <c r="D40" s="59">
        <f>' Ultimos Resultados Aguas Andin'!D41</f>
        <v>16172406</v>
      </c>
      <c r="E40" s="51">
        <f>' Ultimos Resultados Aguas Andin'!E41</f>
        <v>0.06</v>
      </c>
      <c r="F40" s="30"/>
      <c r="G40" s="31"/>
    </row>
    <row r="41" spans="2:7" s="3" customFormat="1" ht="13.2" x14ac:dyDescent="0.25">
      <c r="B41" s="6" t="s">
        <v>32</v>
      </c>
      <c r="C41" s="59">
        <f>' Ultimos Resultados Aguas Andin'!C42</f>
        <v>6526953</v>
      </c>
      <c r="D41" s="59">
        <f>' Ultimos Resultados Aguas Andin'!D42</f>
        <v>5480489</v>
      </c>
      <c r="E41" s="51">
        <f>' Ultimos Resultados Aguas Andin'!E42</f>
        <v>0.191</v>
      </c>
      <c r="F41" s="30"/>
      <c r="G41" s="31"/>
    </row>
    <row r="42" spans="2:7" ht="13.2" x14ac:dyDescent="0.25">
      <c r="B42" s="6" t="s">
        <v>183</v>
      </c>
      <c r="C42" s="59">
        <f>' Ultimos Resultados Aguas Andin'!C43</f>
        <v>6336097</v>
      </c>
      <c r="D42" s="59">
        <f>' Ultimos Resultados Aguas Andin'!D43</f>
        <v>6257482</v>
      </c>
      <c r="E42" s="51">
        <f>' Ultimos Resultados Aguas Andin'!E43</f>
        <v>1.2999999999999999E-2</v>
      </c>
      <c r="F42" s="30"/>
      <c r="G42" s="31"/>
    </row>
    <row r="43" spans="2:7" ht="13.2" x14ac:dyDescent="0.25">
      <c r="B43" s="6" t="s">
        <v>33</v>
      </c>
      <c r="C43" s="59">
        <f>' Ultimos Resultados Aguas Andin'!C44</f>
        <v>896583</v>
      </c>
      <c r="D43" s="59">
        <f>' Ultimos Resultados Aguas Andin'!D44</f>
        <v>339931</v>
      </c>
      <c r="E43" s="51">
        <f>' Ultimos Resultados Aguas Andin'!E44</f>
        <v>1.6379999999999999</v>
      </c>
      <c r="F43" s="30"/>
      <c r="G43" s="31"/>
    </row>
    <row r="44" spans="2:7" ht="13.2" x14ac:dyDescent="0.25">
      <c r="B44" s="9" t="s">
        <v>94</v>
      </c>
      <c r="C44" s="65">
        <f>' Ultimos Resultados Aguas Andin'!C45</f>
        <v>30898044</v>
      </c>
      <c r="D44" s="65">
        <f>' Ultimos Resultados Aguas Andin'!D45</f>
        <v>28250308</v>
      </c>
      <c r="E44" s="66">
        <f>' Ultimos Resultados Aguas Andin'!E45</f>
        <v>9.4E-2</v>
      </c>
      <c r="F44" s="32"/>
      <c r="G44" s="33"/>
    </row>
    <row r="45" spans="2:7" ht="15" customHeight="1" x14ac:dyDescent="0.25">
      <c r="B45" s="27"/>
      <c r="C45" s="34"/>
      <c r="D45" s="34"/>
      <c r="E45" s="28"/>
      <c r="F45" s="28"/>
      <c r="G45" s="28"/>
    </row>
    <row r="46" spans="2:7" ht="15" customHeight="1" x14ac:dyDescent="0.25">
      <c r="B46" s="19" t="s">
        <v>35</v>
      </c>
      <c r="C46" s="22"/>
      <c r="D46" s="22"/>
      <c r="G46" s="21"/>
    </row>
    <row r="47" spans="2:7" ht="15" customHeight="1" thickBot="1" x14ac:dyDescent="0.3">
      <c r="B47" s="5"/>
      <c r="C47" s="49" t="str">
        <f>C3</f>
        <v>Dec. 21</v>
      </c>
      <c r="D47" s="49" t="s">
        <v>185</v>
      </c>
      <c r="E47" s="197" t="s">
        <v>22</v>
      </c>
    </row>
    <row r="48" spans="2:7" ht="15" customHeight="1" thickBot="1" x14ac:dyDescent="0.3">
      <c r="B48" s="35"/>
      <c r="C48" s="49" t="s">
        <v>82</v>
      </c>
      <c r="D48" s="49" t="s">
        <v>82</v>
      </c>
      <c r="E48" s="198"/>
    </row>
    <row r="49" spans="2:5" ht="15" customHeight="1" x14ac:dyDescent="0.3">
      <c r="B49" s="16" t="s">
        <v>95</v>
      </c>
      <c r="C49" s="48"/>
      <c r="D49" s="48"/>
      <c r="E49" s="48"/>
    </row>
    <row r="50" spans="2:5" ht="15" customHeight="1" x14ac:dyDescent="0.25">
      <c r="B50" s="6" t="s">
        <v>96</v>
      </c>
      <c r="C50" s="67">
        <f>' Ultimos Resultados Aguas Andin'!C51</f>
        <v>283854689</v>
      </c>
      <c r="D50" s="67">
        <f>' Ultimos Resultados Aguas Andin'!D51</f>
        <v>302254499</v>
      </c>
      <c r="E50" s="51">
        <f>' Ultimos Resultados Aguas Andin'!E51</f>
        <v>-6.0999999999999999E-2</v>
      </c>
    </row>
    <row r="51" spans="2:5" ht="15" customHeight="1" x14ac:dyDescent="0.25">
      <c r="B51" s="6" t="s">
        <v>97</v>
      </c>
      <c r="C51" s="67">
        <f>' Ultimos Resultados Aguas Andin'!C52</f>
        <v>1945366921</v>
      </c>
      <c r="D51" s="67">
        <f>' Ultimos Resultados Aguas Andin'!D52</f>
        <v>1842181989</v>
      </c>
      <c r="E51" s="51">
        <f>' Ultimos Resultados Aguas Andin'!E52</f>
        <v>5.6000000000000001E-2</v>
      </c>
    </row>
    <row r="52" spans="2:5" ht="15" customHeight="1" x14ac:dyDescent="0.25">
      <c r="B52" s="23" t="s">
        <v>98</v>
      </c>
      <c r="C52" s="65">
        <f>' Ultimos Resultados Aguas Andin'!C53</f>
        <v>2229221610</v>
      </c>
      <c r="D52" s="65">
        <f>' Ultimos Resultados Aguas Andin'!D53</f>
        <v>2144436488</v>
      </c>
      <c r="E52" s="53">
        <f>' Ultimos Resultados Aguas Andin'!E53</f>
        <v>0.04</v>
      </c>
    </row>
    <row r="53" spans="2:5" ht="15" customHeight="1" x14ac:dyDescent="0.3">
      <c r="B53" s="16" t="s">
        <v>99</v>
      </c>
      <c r="C53" s="48"/>
      <c r="D53" s="48"/>
      <c r="E53" s="68"/>
    </row>
    <row r="54" spans="2:5" ht="15" customHeight="1" x14ac:dyDescent="0.25">
      <c r="B54" s="6" t="s">
        <v>100</v>
      </c>
      <c r="C54" s="67">
        <f>' Ultimos Resultados Aguas Andin'!C55</f>
        <v>248642211</v>
      </c>
      <c r="D54" s="67">
        <f>' Ultimos Resultados Aguas Andin'!D55</f>
        <v>244032589</v>
      </c>
      <c r="E54" s="51">
        <f>' Ultimos Resultados Aguas Andin'!E55</f>
        <v>1.9E-2</v>
      </c>
    </row>
    <row r="55" spans="2:5" ht="15" customHeight="1" x14ac:dyDescent="0.25">
      <c r="B55" s="6" t="s">
        <v>101</v>
      </c>
      <c r="C55" s="67">
        <f>' Ultimos Resultados Aguas Andin'!C56</f>
        <v>1138031686</v>
      </c>
      <c r="D55" s="67">
        <f>' Ultimos Resultados Aguas Andin'!D56</f>
        <v>1059655092</v>
      </c>
      <c r="E55" s="51">
        <f>' Ultimos Resultados Aguas Andin'!E56</f>
        <v>7.3999999999999996E-2</v>
      </c>
    </row>
    <row r="56" spans="2:5" ht="15" customHeight="1" x14ac:dyDescent="0.25">
      <c r="B56" s="9" t="s">
        <v>102</v>
      </c>
      <c r="C56" s="65">
        <f>' Ultimos Resultados Aguas Andin'!C57</f>
        <v>1386673897</v>
      </c>
      <c r="D56" s="65">
        <f>' Ultimos Resultados Aguas Andin'!D57</f>
        <v>1303687681</v>
      </c>
      <c r="E56" s="53">
        <f>' Ultimos Resultados Aguas Andin'!E57</f>
        <v>6.4000000000000001E-2</v>
      </c>
    </row>
    <row r="57" spans="2:5" ht="15" customHeight="1" x14ac:dyDescent="0.3">
      <c r="B57" s="5"/>
      <c r="C57" s="48"/>
      <c r="D57" s="48"/>
      <c r="E57" s="68"/>
    </row>
    <row r="58" spans="2:5" ht="15" customHeight="1" x14ac:dyDescent="0.25">
      <c r="B58" s="6" t="s">
        <v>103</v>
      </c>
      <c r="C58" s="67">
        <f>' Ultimos Resultados Aguas Andin'!C59</f>
        <v>842520215</v>
      </c>
      <c r="D58" s="67">
        <f>' Ultimos Resultados Aguas Andin'!D59</f>
        <v>840723242</v>
      </c>
      <c r="E58" s="51">
        <f>' Ultimos Resultados Aguas Andin'!E59</f>
        <v>2E-3</v>
      </c>
    </row>
    <row r="59" spans="2:5" ht="15" customHeight="1" x14ac:dyDescent="0.25">
      <c r="B59" s="6" t="s">
        <v>104</v>
      </c>
      <c r="C59" s="67">
        <f>' Ultimos Resultados Aguas Andin'!C60</f>
        <v>27498</v>
      </c>
      <c r="D59" s="67">
        <f>' Ultimos Resultados Aguas Andin'!D60</f>
        <v>25565</v>
      </c>
      <c r="E59" s="51">
        <f>' Ultimos Resultados Aguas Andin'!E60</f>
        <v>7.5999999999999998E-2</v>
      </c>
    </row>
    <row r="60" spans="2:5" ht="15" customHeight="1" x14ac:dyDescent="0.25">
      <c r="B60" s="9" t="s">
        <v>105</v>
      </c>
      <c r="C60" s="65">
        <f>' Ultimos Resultados Aguas Andin'!C61</f>
        <v>842547713</v>
      </c>
      <c r="D60" s="65">
        <f>' Ultimos Resultados Aguas Andin'!D61</f>
        <v>840748807</v>
      </c>
      <c r="E60" s="53">
        <f>' Ultimos Resultados Aguas Andin'!E61</f>
        <v>2E-3</v>
      </c>
    </row>
    <row r="61" spans="2:5" ht="15" customHeight="1" x14ac:dyDescent="0.25">
      <c r="B61" s="9" t="s">
        <v>106</v>
      </c>
      <c r="C61" s="65">
        <f>' Ultimos Resultados Aguas Andin'!C62</f>
        <v>2229221610</v>
      </c>
      <c r="D61" s="65">
        <f>' Ultimos Resultados Aguas Andin'!D62</f>
        <v>2144436488</v>
      </c>
      <c r="E61" s="53">
        <f>' Ultimos Resultados Aguas Andin'!E62</f>
        <v>0.04</v>
      </c>
    </row>
    <row r="64" spans="2:5" ht="15" customHeight="1" thickBot="1" x14ac:dyDescent="0.3">
      <c r="B64" s="39" t="s">
        <v>107</v>
      </c>
      <c r="C64" s="49" t="str">
        <f>C3</f>
        <v>Dec. 21</v>
      </c>
      <c r="D64" s="49" t="str">
        <f>D3</f>
        <v>Dec. 20</v>
      </c>
      <c r="E64" s="49" t="s">
        <v>22</v>
      </c>
    </row>
    <row r="65" spans="2:5" ht="15" customHeight="1" x14ac:dyDescent="0.25">
      <c r="B65" s="26" t="s">
        <v>108</v>
      </c>
      <c r="C65" s="50">
        <f>' Ultimos Resultados Aguas Andin'!C66</f>
        <v>231199221</v>
      </c>
      <c r="D65" s="50">
        <f>' Ultimos Resultados Aguas Andin'!D66</f>
        <v>185293280</v>
      </c>
      <c r="E65" s="69">
        <f>' Ultimos Resultados Aguas Andin'!E66</f>
        <v>0.248</v>
      </c>
    </row>
    <row r="66" spans="2:5" ht="15" customHeight="1" x14ac:dyDescent="0.25">
      <c r="B66" s="26" t="s">
        <v>109</v>
      </c>
      <c r="C66" s="50">
        <f>' Ultimos Resultados Aguas Andin'!C67</f>
        <v>-157685839</v>
      </c>
      <c r="D66" s="50">
        <f>' Ultimos Resultados Aguas Andin'!D67</f>
        <v>-78371570</v>
      </c>
      <c r="E66" s="70">
        <f>' Ultimos Resultados Aguas Andin'!E67</f>
        <v>1.012</v>
      </c>
    </row>
    <row r="67" spans="2:5" ht="15" customHeight="1" x14ac:dyDescent="0.25">
      <c r="B67" s="26" t="s">
        <v>110</v>
      </c>
      <c r="C67" s="50">
        <f>' Ultimos Resultados Aguas Andin'!C68</f>
        <v>-84945654</v>
      </c>
      <c r="D67" s="50">
        <f>' Ultimos Resultados Aguas Andin'!D68</f>
        <v>-4038882</v>
      </c>
      <c r="E67" s="70" t="str">
        <f>' Ultimos Resultados Aguas Andin'!E68</f>
        <v>&gt;200,0%</v>
      </c>
    </row>
    <row r="68" spans="2:5" ht="15" customHeight="1" x14ac:dyDescent="0.25">
      <c r="B68" s="38" t="s">
        <v>111</v>
      </c>
      <c r="C68" s="52">
        <f>' Ultimos Resultados Aguas Andin'!C69</f>
        <v>-11432272</v>
      </c>
      <c r="D68" s="52">
        <f>' Ultimos Resultados Aguas Andin'!D69</f>
        <v>102882828</v>
      </c>
      <c r="E68" s="71">
        <f>' Ultimos Resultados Aguas Andin'!E69</f>
        <v>-1.111</v>
      </c>
    </row>
    <row r="69" spans="2:5" ht="15" customHeight="1" x14ac:dyDescent="0.25">
      <c r="B69" s="38" t="s">
        <v>112</v>
      </c>
      <c r="C69" s="52">
        <f>' Ultimos Resultados Aguas Andin'!C70</f>
        <v>163513314</v>
      </c>
      <c r="D69" s="52">
        <f>' Ultimos Resultados Aguas Andin'!D70</f>
        <v>174945586</v>
      </c>
      <c r="E69" s="71">
        <f>' Ultimos Resultados Aguas Andin'!E70</f>
        <v>-6.5000000000000002E-2</v>
      </c>
    </row>
    <row r="71" spans="2:5" ht="15" customHeight="1" x14ac:dyDescent="0.25">
      <c r="B71" s="2" t="s">
        <v>127</v>
      </c>
    </row>
    <row r="72" spans="2:5" ht="15" customHeight="1" thickBot="1" x14ac:dyDescent="0.3">
      <c r="B72" s="4"/>
      <c r="C72" s="37"/>
      <c r="D72" s="72" t="str">
        <f>C3</f>
        <v>Dec. 21</v>
      </c>
      <c r="E72" s="72" t="str">
        <f>D47</f>
        <v xml:space="preserve">         Dec. 19</v>
      </c>
    </row>
    <row r="73" spans="2:5" ht="15" customHeight="1" x14ac:dyDescent="0.3">
      <c r="B73" s="6" t="s">
        <v>113</v>
      </c>
      <c r="C73" s="24"/>
      <c r="D73" s="48"/>
      <c r="E73" s="48"/>
    </row>
    <row r="74" spans="2:5" ht="15" customHeight="1" x14ac:dyDescent="0.25">
      <c r="B74" s="6" t="s">
        <v>114</v>
      </c>
      <c r="C74" s="25" t="s">
        <v>115</v>
      </c>
      <c r="D74" s="73">
        <f>' Ultimos Resultados Aguas Andin'!D75</f>
        <v>1.1399999999999999</v>
      </c>
      <c r="E74" s="73">
        <f>' Ultimos Resultados Aguas Andin'!E75</f>
        <v>1.24</v>
      </c>
    </row>
    <row r="75" spans="2:5" ht="15" customHeight="1" x14ac:dyDescent="0.25">
      <c r="B75" s="6" t="s">
        <v>116</v>
      </c>
      <c r="C75" s="25" t="s">
        <v>115</v>
      </c>
      <c r="D75" s="73">
        <f>' Ultimos Resultados Aguas Andin'!D76</f>
        <v>0.66</v>
      </c>
      <c r="E75" s="73">
        <f>' Ultimos Resultados Aguas Andin'!E76</f>
        <v>0.72</v>
      </c>
    </row>
    <row r="76" spans="2:5" ht="15" customHeight="1" x14ac:dyDescent="0.25">
      <c r="B76" s="6" t="s">
        <v>117</v>
      </c>
      <c r="C76" s="24"/>
      <c r="D76" s="74"/>
      <c r="E76" s="74"/>
    </row>
    <row r="77" spans="2:5" ht="15" customHeight="1" x14ac:dyDescent="0.25">
      <c r="B77" s="6" t="s">
        <v>118</v>
      </c>
      <c r="C77" s="25" t="s">
        <v>115</v>
      </c>
      <c r="D77" s="73">
        <f>' Ultimos Resultados Aguas Andin'!D78</f>
        <v>1.65</v>
      </c>
      <c r="E77" s="73">
        <f>' Ultimos Resultados Aguas Andin'!E78</f>
        <v>1.55</v>
      </c>
    </row>
    <row r="78" spans="2:5" ht="15" customHeight="1" x14ac:dyDescent="0.25">
      <c r="B78" s="6" t="s">
        <v>119</v>
      </c>
      <c r="C78" s="25" t="s">
        <v>115</v>
      </c>
      <c r="D78" s="73">
        <f>' Ultimos Resultados Aguas Andin'!D79</f>
        <v>0.17929999999999999</v>
      </c>
      <c r="E78" s="73">
        <f>' Ultimos Resultados Aguas Andin'!E79</f>
        <v>0.18720000000000001</v>
      </c>
    </row>
    <row r="79" spans="2:5" ht="15" customHeight="1" x14ac:dyDescent="0.25">
      <c r="B79" s="6" t="s">
        <v>120</v>
      </c>
      <c r="C79" s="25" t="s">
        <v>115</v>
      </c>
      <c r="D79" s="73">
        <f>' Ultimos Resultados Aguas Andin'!D80</f>
        <v>0.82069999999999999</v>
      </c>
      <c r="E79" s="73">
        <f>' Ultimos Resultados Aguas Andin'!E80</f>
        <v>0.81279999999999997</v>
      </c>
    </row>
    <row r="80" spans="2:5" ht="15" customHeight="1" x14ac:dyDescent="0.25">
      <c r="B80" s="6" t="s">
        <v>121</v>
      </c>
      <c r="C80" s="25" t="s">
        <v>115</v>
      </c>
      <c r="D80" s="73">
        <f>' Ultimos Resultados Aguas Andin'!D81</f>
        <v>5.32</v>
      </c>
      <c r="E80" s="73">
        <f>' Ultimos Resultados Aguas Andin'!E81</f>
        <v>5.1100000000000003</v>
      </c>
    </row>
    <row r="81" spans="2:5" ht="15" customHeight="1" x14ac:dyDescent="0.25">
      <c r="B81" s="6" t="s">
        <v>122</v>
      </c>
      <c r="C81" s="24"/>
      <c r="D81" s="74"/>
      <c r="E81" s="74"/>
    </row>
    <row r="82" spans="2:5" ht="15" customHeight="1" x14ac:dyDescent="0.25">
      <c r="B82" s="26" t="s">
        <v>123</v>
      </c>
      <c r="C82" s="25" t="s">
        <v>15</v>
      </c>
      <c r="D82" s="73">
        <f>' Ultimos Resultados Aguas Andin'!D83</f>
        <v>11.959999999999999</v>
      </c>
      <c r="E82" s="73">
        <f>' Ultimos Resultados Aguas Andin'!E83</f>
        <v>13.29</v>
      </c>
    </row>
    <row r="83" spans="2:5" ht="15" customHeight="1" x14ac:dyDescent="0.25">
      <c r="B83" s="6" t="s">
        <v>124</v>
      </c>
      <c r="C83" s="25" t="s">
        <v>15</v>
      </c>
      <c r="D83" s="73">
        <f>' Ultimos Resultados Aguas Andin'!D84</f>
        <v>4.5999999999999996</v>
      </c>
      <c r="E83" s="73">
        <f>' Ultimos Resultados Aguas Andin'!E84</f>
        <v>4.7600000000000007</v>
      </c>
    </row>
    <row r="84" spans="2:5" ht="15" customHeight="1" x14ac:dyDescent="0.25">
      <c r="B84" s="6" t="s">
        <v>125</v>
      </c>
      <c r="C84" s="25" t="s">
        <v>66</v>
      </c>
      <c r="D84" s="73">
        <f>' Ultimos Resultados Aguas Andin'!D85</f>
        <v>16.45</v>
      </c>
      <c r="E84" s="73">
        <f>' Ultimos Resultados Aguas Andin'!E85</f>
        <v>16.13</v>
      </c>
    </row>
    <row r="85" spans="2:5" ht="15" customHeight="1" x14ac:dyDescent="0.25">
      <c r="B85" s="6" t="s">
        <v>198</v>
      </c>
      <c r="C85" s="25" t="s">
        <v>15</v>
      </c>
      <c r="D85" s="73">
        <f>' Ultimos Resultados Aguas Andin'!D86</f>
        <v>11.09</v>
      </c>
      <c r="E85" s="73">
        <f>' Ultimos Resultados Aguas Andin'!E86</f>
        <v>7.8</v>
      </c>
    </row>
    <row r="96" spans="2:5" ht="15" customHeight="1" x14ac:dyDescent="0.25">
      <c r="C96" s="91">
        <f>SUM(C4:G14,C21:J25,C28:G31,C34:G35,C40:E44,C50:E61,C65:E69,D74:E85)-SUM(' Ultimos Resultados Aguas Andin'!C4:G15,' Ultimos Resultados Aguas Andin'!C22:J26,' Ultimos Resultados Aguas Andin'!C29:G32,' Ultimos Resultados Aguas Andin'!C35:G36,' Ultimos Resultados Aguas Andin'!C41:E45,' Ultimos Resultados Aguas Andin'!C51:E62,' Ultimos Resultados Aguas Andin'!C66:E70,' Ultimos Resultados Aguas Andin'!D75:E86)</f>
        <v>1675833.9990005493</v>
      </c>
    </row>
  </sheetData>
  <mergeCells count="8">
    <mergeCell ref="E47:E48"/>
    <mergeCell ref="F18:G18"/>
    <mergeCell ref="I18:J18"/>
    <mergeCell ref="D19:D20"/>
    <mergeCell ref="G19:G20"/>
    <mergeCell ref="I19:I20"/>
    <mergeCell ref="C18:D18"/>
    <mergeCell ref="J19:J20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X61"/>
  <sheetViews>
    <sheetView tabSelected="1" topLeftCell="H1" workbookViewId="0">
      <selection activeCell="B14" sqref="B14"/>
    </sheetView>
  </sheetViews>
  <sheetFormatPr baseColWidth="10" defaultRowHeight="13.2" x14ac:dyDescent="0.25"/>
  <cols>
    <col min="1" max="1" width="20.6640625" bestFit="1" customWidth="1"/>
    <col min="2" max="2" width="17" bestFit="1" customWidth="1"/>
  </cols>
  <sheetData>
    <row r="2" spans="1:24" x14ac:dyDescent="0.25">
      <c r="A2" s="75" t="s">
        <v>134</v>
      </c>
      <c r="D2" s="78"/>
    </row>
    <row r="4" spans="1:24" x14ac:dyDescent="0.25">
      <c r="A4" t="s">
        <v>135</v>
      </c>
      <c r="B4" s="78" t="s">
        <v>216</v>
      </c>
      <c r="D4" s="87">
        <f>[2]Pasivo!$D$16+[2]Pasivo!$D$5-[2]Activo!$D$5</f>
        <v>1000628731</v>
      </c>
    </row>
    <row r="5" spans="1:24" x14ac:dyDescent="0.25">
      <c r="A5" t="s">
        <v>58</v>
      </c>
      <c r="B5" s="78" t="s">
        <v>210</v>
      </c>
      <c r="D5" s="78"/>
    </row>
    <row r="6" spans="1:24" x14ac:dyDescent="0.25">
      <c r="A6" t="s">
        <v>59</v>
      </c>
      <c r="B6" s="78" t="s">
        <v>211</v>
      </c>
      <c r="D6" s="78"/>
    </row>
    <row r="7" spans="1:24" x14ac:dyDescent="0.25">
      <c r="A7" t="s">
        <v>60</v>
      </c>
      <c r="B7" s="78" t="s">
        <v>212</v>
      </c>
      <c r="D7" s="78"/>
    </row>
    <row r="8" spans="1:24" x14ac:dyDescent="0.25">
      <c r="A8" t="s">
        <v>61</v>
      </c>
      <c r="B8" s="78" t="s">
        <v>213</v>
      </c>
      <c r="D8" s="78"/>
    </row>
    <row r="10" spans="1:24" x14ac:dyDescent="0.25">
      <c r="A10" s="75" t="s">
        <v>136</v>
      </c>
    </row>
    <row r="13" spans="1:24" x14ac:dyDescent="0.25">
      <c r="A13" t="s">
        <v>137</v>
      </c>
      <c r="B13" s="79" t="s">
        <v>138</v>
      </c>
      <c r="C13" s="79" t="s">
        <v>139</v>
      </c>
      <c r="D13" s="79" t="s">
        <v>140</v>
      </c>
      <c r="E13" s="79" t="s">
        <v>141</v>
      </c>
      <c r="F13" s="79" t="s">
        <v>142</v>
      </c>
      <c r="G13" s="79" t="s">
        <v>143</v>
      </c>
      <c r="H13" s="79" t="s">
        <v>144</v>
      </c>
      <c r="I13" s="79" t="s">
        <v>145</v>
      </c>
      <c r="J13" s="79" t="s">
        <v>146</v>
      </c>
      <c r="K13" s="79" t="s">
        <v>147</v>
      </c>
      <c r="L13" s="79" t="s">
        <v>148</v>
      </c>
      <c r="M13" s="79" t="s">
        <v>149</v>
      </c>
      <c r="N13" s="79" t="s">
        <v>150</v>
      </c>
      <c r="O13" s="79" t="s">
        <v>151</v>
      </c>
      <c r="P13" s="79" t="s">
        <v>152</v>
      </c>
      <c r="Q13" s="79" t="s">
        <v>153</v>
      </c>
      <c r="R13" s="79" t="s">
        <v>154</v>
      </c>
      <c r="S13" s="79" t="s">
        <v>155</v>
      </c>
      <c r="T13" s="79" t="s">
        <v>156</v>
      </c>
      <c r="U13" s="79" t="s">
        <v>176</v>
      </c>
      <c r="V13" s="79" t="s">
        <v>177</v>
      </c>
      <c r="W13" s="79" t="s">
        <v>178</v>
      </c>
      <c r="X13" s="79" t="s">
        <v>182</v>
      </c>
    </row>
    <row r="14" spans="1:24" x14ac:dyDescent="0.25">
      <c r="A14" t="s">
        <v>157</v>
      </c>
      <c r="B14" s="95">
        <v>33437.768319893337</v>
      </c>
      <c r="C14" s="95">
        <v>22754.410246985844</v>
      </c>
      <c r="D14" s="95">
        <v>21326.056084071472</v>
      </c>
      <c r="E14" s="95">
        <v>15810.939000741839</v>
      </c>
      <c r="F14" s="95">
        <v>16305.372797146896</v>
      </c>
      <c r="G14" s="95">
        <v>14494.783397062563</v>
      </c>
      <c r="H14" s="95">
        <v>15048.545934345673</v>
      </c>
      <c r="I14" s="95">
        <v>13159.007122066172</v>
      </c>
      <c r="J14" s="95">
        <v>9435.6523004692717</v>
      </c>
      <c r="K14" s="95">
        <v>12823.974446755357</v>
      </c>
      <c r="L14" s="95">
        <v>4028.6762637036795</v>
      </c>
      <c r="M14" s="95">
        <v>3492.5084016814694</v>
      </c>
      <c r="N14" s="95">
        <v>6608.7129346090724</v>
      </c>
      <c r="O14" s="95">
        <v>4164.0997824815231</v>
      </c>
      <c r="P14" s="95">
        <v>4732.4298926268311</v>
      </c>
      <c r="Q14" s="95">
        <v>0</v>
      </c>
      <c r="R14" s="95">
        <v>0</v>
      </c>
      <c r="S14" s="95">
        <v>0</v>
      </c>
      <c r="T14" s="95">
        <v>0</v>
      </c>
      <c r="U14" s="95">
        <v>0</v>
      </c>
      <c r="V14" s="95">
        <v>0</v>
      </c>
      <c r="W14" s="95">
        <v>0</v>
      </c>
      <c r="X14" s="95">
        <v>0</v>
      </c>
    </row>
    <row r="15" spans="1:24" x14ac:dyDescent="0.25">
      <c r="A15" t="s">
        <v>168</v>
      </c>
      <c r="B15" s="95">
        <v>19369.837500000001</v>
      </c>
      <c r="C15" s="95">
        <v>15495.87</v>
      </c>
      <c r="D15" s="95">
        <v>11621.9025</v>
      </c>
      <c r="E15" s="95">
        <v>5810.9512500000001</v>
      </c>
      <c r="F15" s="95">
        <v>0</v>
      </c>
      <c r="G15" s="95">
        <v>0</v>
      </c>
      <c r="H15" s="95">
        <v>0</v>
      </c>
      <c r="I15" s="95">
        <v>0</v>
      </c>
      <c r="J15" s="95">
        <v>0</v>
      </c>
      <c r="K15" s="95">
        <v>54235.544999999998</v>
      </c>
      <c r="L15" s="95">
        <v>51136.370999999999</v>
      </c>
      <c r="M15" s="95">
        <v>64307.860499999995</v>
      </c>
      <c r="N15" s="95">
        <v>47520.667999999998</v>
      </c>
      <c r="O15" s="95">
        <v>41580.584499999997</v>
      </c>
      <c r="P15" s="95">
        <v>85743.813999999998</v>
      </c>
      <c r="Q15" s="95">
        <v>73863.646999999997</v>
      </c>
      <c r="R15" s="95">
        <v>65082.654000000002</v>
      </c>
      <c r="S15" s="95">
        <v>30991.74</v>
      </c>
      <c r="T15" s="95">
        <v>15495.87</v>
      </c>
      <c r="U15" s="95">
        <v>15495.87</v>
      </c>
      <c r="V15" s="95">
        <v>46487.61</v>
      </c>
      <c r="W15" s="95">
        <v>46487.61</v>
      </c>
      <c r="X15" s="95">
        <v>15495.87</v>
      </c>
    </row>
    <row r="16" spans="1:24" x14ac:dyDescent="0.25">
      <c r="A16" t="s">
        <v>169</v>
      </c>
      <c r="B16" s="95">
        <v>8849.780999999999</v>
      </c>
      <c r="C16" s="95">
        <v>19349.780999999999</v>
      </c>
      <c r="D16" s="95">
        <v>103849.781</v>
      </c>
      <c r="E16" s="95">
        <v>67224.890500000009</v>
      </c>
      <c r="F16" s="95">
        <v>39270.304000000004</v>
      </c>
      <c r="G16" s="95">
        <v>0</v>
      </c>
      <c r="H16" s="95">
        <v>0</v>
      </c>
      <c r="I16" s="95">
        <v>0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95">
        <v>0</v>
      </c>
      <c r="R16" s="95">
        <v>0</v>
      </c>
      <c r="S16" s="95">
        <v>0</v>
      </c>
      <c r="T16" s="95">
        <v>0</v>
      </c>
      <c r="U16" s="95">
        <v>0</v>
      </c>
      <c r="V16" s="95">
        <v>0</v>
      </c>
      <c r="W16" s="95">
        <v>0</v>
      </c>
      <c r="X16" s="95">
        <v>0</v>
      </c>
    </row>
    <row r="17" spans="2:17" x14ac:dyDescent="0.25"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Q17" s="96"/>
    </row>
    <row r="37" spans="1:3" x14ac:dyDescent="0.25">
      <c r="A37" s="75" t="s">
        <v>159</v>
      </c>
    </row>
    <row r="39" spans="1:3" x14ac:dyDescent="0.25">
      <c r="A39" t="s">
        <v>160</v>
      </c>
      <c r="B39" s="79" t="s">
        <v>15</v>
      </c>
    </row>
    <row r="40" spans="1:3" x14ac:dyDescent="0.25">
      <c r="A40" t="s">
        <v>161</v>
      </c>
      <c r="B40" s="173">
        <v>0.17199999999999999</v>
      </c>
      <c r="C40" s="80"/>
    </row>
    <row r="41" spans="1:3" x14ac:dyDescent="0.25">
      <c r="A41" t="s">
        <v>158</v>
      </c>
      <c r="B41" s="173">
        <v>0.61899999999999999</v>
      </c>
      <c r="C41" s="80"/>
    </row>
    <row r="42" spans="1:3" x14ac:dyDescent="0.25">
      <c r="A42" t="s">
        <v>214</v>
      </c>
      <c r="B42" s="173">
        <v>0.20699999999999999</v>
      </c>
      <c r="C42" s="80"/>
    </row>
    <row r="43" spans="1:3" x14ac:dyDescent="0.25">
      <c r="A43" t="s">
        <v>215</v>
      </c>
      <c r="B43" s="173">
        <v>2E-3</v>
      </c>
      <c r="C43" s="80"/>
    </row>
    <row r="44" spans="1:3" x14ac:dyDescent="0.25">
      <c r="A44" t="s">
        <v>20</v>
      </c>
      <c r="B44" s="77">
        <f>SUM(B40:B42)</f>
        <v>0.99799999999999989</v>
      </c>
      <c r="C44" s="80"/>
    </row>
    <row r="57" spans="1:2" x14ac:dyDescent="0.25">
      <c r="A57" s="75" t="s">
        <v>162</v>
      </c>
    </row>
    <row r="59" spans="1:2" x14ac:dyDescent="0.25">
      <c r="A59" t="s">
        <v>163</v>
      </c>
      <c r="B59" s="79" t="s">
        <v>15</v>
      </c>
    </row>
    <row r="60" spans="1:2" x14ac:dyDescent="0.25">
      <c r="A60" t="s">
        <v>164</v>
      </c>
      <c r="B60" s="179">
        <v>0.88500000000000001</v>
      </c>
    </row>
    <row r="61" spans="1:2" x14ac:dyDescent="0.25">
      <c r="A61" t="s">
        <v>165</v>
      </c>
      <c r="B61" s="179">
        <v>0.115</v>
      </c>
    </row>
  </sheetData>
  <phoneticPr fontId="31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62"/>
  <sheetViews>
    <sheetView tabSelected="1" topLeftCell="A31" workbookViewId="0">
      <selection activeCell="B14" sqref="B14"/>
    </sheetView>
  </sheetViews>
  <sheetFormatPr baseColWidth="10" defaultRowHeight="13.2" x14ac:dyDescent="0.25"/>
  <cols>
    <col min="1" max="1" width="20.6640625" bestFit="1" customWidth="1"/>
    <col min="6" max="6" width="12.44140625" bestFit="1" customWidth="1"/>
  </cols>
  <sheetData>
    <row r="1" spans="1:26" x14ac:dyDescent="0.25">
      <c r="F1" s="78"/>
    </row>
    <row r="2" spans="1:26" x14ac:dyDescent="0.25">
      <c r="A2" s="75" t="s">
        <v>127</v>
      </c>
      <c r="D2" s="78"/>
      <c r="F2" s="78"/>
    </row>
    <row r="3" spans="1:26" x14ac:dyDescent="0.25">
      <c r="F3" s="78"/>
    </row>
    <row r="4" spans="1:26" ht="26.4" x14ac:dyDescent="0.25">
      <c r="A4" t="s">
        <v>166</v>
      </c>
      <c r="B4" s="82" t="s">
        <v>217</v>
      </c>
      <c r="D4" s="78"/>
      <c r="F4" s="78"/>
    </row>
    <row r="5" spans="1:26" x14ac:dyDescent="0.25">
      <c r="A5" t="s">
        <v>118</v>
      </c>
      <c r="B5" s="78" t="s">
        <v>218</v>
      </c>
      <c r="D5" s="78"/>
      <c r="F5" s="78"/>
    </row>
    <row r="6" spans="1:26" x14ac:dyDescent="0.25">
      <c r="A6" t="s">
        <v>119</v>
      </c>
      <c r="B6" s="78" t="s">
        <v>219</v>
      </c>
      <c r="D6" s="78"/>
      <c r="F6" s="78"/>
    </row>
    <row r="7" spans="1:26" x14ac:dyDescent="0.25">
      <c r="A7" t="s">
        <v>120</v>
      </c>
      <c r="B7" s="78" t="s">
        <v>220</v>
      </c>
      <c r="D7" s="78"/>
      <c r="F7" s="78"/>
    </row>
    <row r="8" spans="1:26" x14ac:dyDescent="0.25">
      <c r="A8" t="s">
        <v>121</v>
      </c>
      <c r="B8" s="78" t="s">
        <v>221</v>
      </c>
      <c r="D8" s="78"/>
      <c r="F8" s="78"/>
    </row>
    <row r="10" spans="1:26" x14ac:dyDescent="0.25">
      <c r="A10" s="75" t="s">
        <v>136</v>
      </c>
    </row>
    <row r="14" spans="1:26" x14ac:dyDescent="0.25">
      <c r="A14" t="s">
        <v>137</v>
      </c>
      <c r="B14" s="94" t="str">
        <f>+'Estructura Deuda'!B13</f>
        <v>2022</v>
      </c>
      <c r="C14" s="94" t="str">
        <f>+'Estructura Deuda'!C13</f>
        <v>2023</v>
      </c>
      <c r="D14" s="94" t="str">
        <f>+'Estructura Deuda'!D13</f>
        <v>2024</v>
      </c>
      <c r="E14" s="94" t="str">
        <f>+'Estructura Deuda'!E13</f>
        <v>2025</v>
      </c>
      <c r="F14" s="94" t="str">
        <f>+'Estructura Deuda'!F13</f>
        <v>2026</v>
      </c>
      <c r="G14" s="94" t="str">
        <f>+'Estructura Deuda'!G13</f>
        <v>2027</v>
      </c>
      <c r="H14" s="94" t="str">
        <f>+'Estructura Deuda'!H13</f>
        <v>2028</v>
      </c>
      <c r="I14" s="94" t="str">
        <f>+'Estructura Deuda'!I13</f>
        <v>2029</v>
      </c>
      <c r="J14" s="94" t="str">
        <f>+'Estructura Deuda'!J13</f>
        <v>2030</v>
      </c>
      <c r="K14" s="94" t="str">
        <f>+'Estructura Deuda'!K13</f>
        <v>2031</v>
      </c>
      <c r="L14" s="94" t="str">
        <f>+'Estructura Deuda'!L13</f>
        <v>2032</v>
      </c>
      <c r="M14" s="94" t="str">
        <f>+'Estructura Deuda'!M13</f>
        <v>2033</v>
      </c>
      <c r="N14" s="94" t="str">
        <f>+'Estructura Deuda'!N13</f>
        <v>2034</v>
      </c>
      <c r="O14" s="94" t="str">
        <f>+'Estructura Deuda'!O13</f>
        <v>2035</v>
      </c>
      <c r="P14" s="94" t="str">
        <f>+'Estructura Deuda'!P13</f>
        <v>2036</v>
      </c>
      <c r="Q14" s="94" t="str">
        <f>+'Estructura Deuda'!Q13</f>
        <v>2037</v>
      </c>
      <c r="R14" s="94" t="str">
        <f>+'Estructura Deuda'!R13</f>
        <v>2038</v>
      </c>
      <c r="S14" s="94" t="str">
        <f>+'Estructura Deuda'!S13</f>
        <v>2039</v>
      </c>
      <c r="T14" s="94" t="str">
        <f>+'Estructura Deuda'!T13</f>
        <v>2040</v>
      </c>
      <c r="U14" s="94" t="str">
        <f>+'Estructura Deuda'!U13</f>
        <v>2041</v>
      </c>
      <c r="V14" s="94" t="str">
        <f>+'Estructura Deuda'!V13</f>
        <v>2042</v>
      </c>
      <c r="W14" s="94" t="str">
        <f>+'Estructura Deuda'!W13</f>
        <v>2043</v>
      </c>
      <c r="X14" s="94" t="str">
        <f>+'Estructura Deuda'!X13</f>
        <v>2044</v>
      </c>
      <c r="Z14" s="85"/>
    </row>
    <row r="15" spans="1:26" x14ac:dyDescent="0.25">
      <c r="A15" t="s">
        <v>167</v>
      </c>
      <c r="B15" s="95">
        <f>+'Estructura Deuda'!B14</f>
        <v>33437.768319893337</v>
      </c>
      <c r="C15" s="95">
        <f>+'Estructura Deuda'!C14</f>
        <v>22754.410246985844</v>
      </c>
      <c r="D15" s="95">
        <f>+'Estructura Deuda'!D14</f>
        <v>21326.056084071472</v>
      </c>
      <c r="E15" s="95">
        <f>+'Estructura Deuda'!E14</f>
        <v>15810.939000741839</v>
      </c>
      <c r="F15" s="95">
        <f>+'Estructura Deuda'!F14</f>
        <v>16305.372797146896</v>
      </c>
      <c r="G15" s="95">
        <f>+'Estructura Deuda'!G14</f>
        <v>14494.783397062563</v>
      </c>
      <c r="H15" s="95">
        <f>+'Estructura Deuda'!H14</f>
        <v>15048.545934345673</v>
      </c>
      <c r="I15" s="95">
        <f>+'Estructura Deuda'!I14</f>
        <v>13159.007122066172</v>
      </c>
      <c r="J15" s="95">
        <f>+'Estructura Deuda'!J14</f>
        <v>9435.6523004692717</v>
      </c>
      <c r="K15" s="95">
        <f>+'Estructura Deuda'!K14</f>
        <v>12823.974446755357</v>
      </c>
      <c r="L15" s="95">
        <f>+'Estructura Deuda'!L14</f>
        <v>4028.6762637036795</v>
      </c>
      <c r="M15" s="95">
        <f>+'Estructura Deuda'!M14</f>
        <v>3492.5084016814694</v>
      </c>
      <c r="N15" s="95">
        <f>+'Estructura Deuda'!N14</f>
        <v>6608.7129346090724</v>
      </c>
      <c r="O15" s="95">
        <f>+'Estructura Deuda'!O14</f>
        <v>4164.0997824815231</v>
      </c>
      <c r="P15" s="95">
        <f>+'Estructura Deuda'!P14</f>
        <v>4732.4298926268311</v>
      </c>
      <c r="Q15" s="95">
        <f>+'Estructura Deuda'!Q14</f>
        <v>0</v>
      </c>
      <c r="R15" s="95">
        <f>+'Estructura Deuda'!R14</f>
        <v>0</v>
      </c>
      <c r="S15" s="95">
        <f>+'Estructura Deuda'!S14</f>
        <v>0</v>
      </c>
      <c r="T15" s="95">
        <f>+'Estructura Deuda'!T14</f>
        <v>0</v>
      </c>
      <c r="U15" s="95">
        <f>+'Estructura Deuda'!U14</f>
        <v>0</v>
      </c>
      <c r="V15" s="95">
        <f>+'Estructura Deuda'!V14</f>
        <v>0</v>
      </c>
      <c r="W15" s="95">
        <f>+'Estructura Deuda'!W14</f>
        <v>0</v>
      </c>
      <c r="X15" s="95">
        <f>+'Estructura Deuda'!X14</f>
        <v>0</v>
      </c>
      <c r="Z15" s="84"/>
    </row>
    <row r="16" spans="1:26" x14ac:dyDescent="0.25">
      <c r="A16" t="s">
        <v>168</v>
      </c>
      <c r="B16" s="95">
        <f>+'Estructura Deuda'!B15</f>
        <v>19369.837500000001</v>
      </c>
      <c r="C16" s="95">
        <f>+'Estructura Deuda'!C15</f>
        <v>15495.87</v>
      </c>
      <c r="D16" s="95">
        <f>+'Estructura Deuda'!D15</f>
        <v>11621.9025</v>
      </c>
      <c r="E16" s="95">
        <f>+'Estructura Deuda'!E15</f>
        <v>5810.9512500000001</v>
      </c>
      <c r="F16" s="95">
        <f>+'Estructura Deuda'!F15</f>
        <v>0</v>
      </c>
      <c r="G16" s="95">
        <f>+'Estructura Deuda'!G15</f>
        <v>0</v>
      </c>
      <c r="H16" s="95">
        <f>+'Estructura Deuda'!H15</f>
        <v>0</v>
      </c>
      <c r="I16" s="95">
        <f>+'Estructura Deuda'!I15</f>
        <v>0</v>
      </c>
      <c r="J16" s="95">
        <f>+'Estructura Deuda'!J15</f>
        <v>0</v>
      </c>
      <c r="K16" s="95">
        <f>+'Estructura Deuda'!K15</f>
        <v>54235.544999999998</v>
      </c>
      <c r="L16" s="95">
        <f>+'Estructura Deuda'!L15</f>
        <v>51136.370999999999</v>
      </c>
      <c r="M16" s="95">
        <f>+'Estructura Deuda'!M15</f>
        <v>64307.860499999995</v>
      </c>
      <c r="N16" s="95">
        <f>+'Estructura Deuda'!N15</f>
        <v>47520.667999999998</v>
      </c>
      <c r="O16" s="95">
        <f>+'Estructura Deuda'!O15</f>
        <v>41580.584499999997</v>
      </c>
      <c r="P16" s="95">
        <f>+'Estructura Deuda'!P15</f>
        <v>85743.813999999998</v>
      </c>
      <c r="Q16" s="95">
        <f>+'Estructura Deuda'!Q15</f>
        <v>73863.646999999997</v>
      </c>
      <c r="R16" s="95">
        <f>+'Estructura Deuda'!R15</f>
        <v>65082.654000000002</v>
      </c>
      <c r="S16" s="95">
        <f>+'Estructura Deuda'!S15</f>
        <v>30991.74</v>
      </c>
      <c r="T16" s="95">
        <f>+'Estructura Deuda'!T15</f>
        <v>15495.87</v>
      </c>
      <c r="U16" s="95">
        <f>+'Estructura Deuda'!U15</f>
        <v>15495.87</v>
      </c>
      <c r="V16" s="95">
        <f>+'Estructura Deuda'!V15</f>
        <v>46487.61</v>
      </c>
      <c r="W16" s="95">
        <f>+'Estructura Deuda'!W15</f>
        <v>46487.61</v>
      </c>
      <c r="X16" s="95">
        <f>+'Estructura Deuda'!X15</f>
        <v>15495.87</v>
      </c>
      <c r="Z16" s="84"/>
    </row>
    <row r="17" spans="1:26" x14ac:dyDescent="0.25">
      <c r="A17" t="s">
        <v>169</v>
      </c>
      <c r="B17" s="95">
        <f>+'Estructura Deuda'!B16</f>
        <v>8849.780999999999</v>
      </c>
      <c r="C17" s="95">
        <f>+'Estructura Deuda'!C16</f>
        <v>19349.780999999999</v>
      </c>
      <c r="D17" s="95">
        <f>+'Estructura Deuda'!D16</f>
        <v>103849.781</v>
      </c>
      <c r="E17" s="95">
        <f>+'Estructura Deuda'!E16</f>
        <v>67224.890500000009</v>
      </c>
      <c r="F17" s="95">
        <f>+'Estructura Deuda'!F16</f>
        <v>39270.304000000004</v>
      </c>
      <c r="G17" s="95">
        <f>+'Estructura Deuda'!G16</f>
        <v>0</v>
      </c>
      <c r="H17" s="95">
        <f>+'Estructura Deuda'!H16</f>
        <v>0</v>
      </c>
      <c r="I17" s="95">
        <f>+'Estructura Deuda'!I16</f>
        <v>0</v>
      </c>
      <c r="J17" s="95">
        <f>+'Estructura Deuda'!J16</f>
        <v>0</v>
      </c>
      <c r="K17" s="95">
        <f>+'Estructura Deuda'!K16</f>
        <v>0</v>
      </c>
      <c r="L17" s="95">
        <f>+'Estructura Deuda'!L16</f>
        <v>0</v>
      </c>
      <c r="M17" s="95">
        <f>+'Estructura Deuda'!M16</f>
        <v>0</v>
      </c>
      <c r="N17" s="95">
        <f>+'Estructura Deuda'!N16</f>
        <v>0</v>
      </c>
      <c r="O17" s="95">
        <f>+'Estructura Deuda'!O16</f>
        <v>0</v>
      </c>
      <c r="P17" s="95">
        <f>+'Estructura Deuda'!P16</f>
        <v>0</v>
      </c>
      <c r="Q17" s="95">
        <f>+'Estructura Deuda'!Q16</f>
        <v>0</v>
      </c>
      <c r="R17" s="95">
        <f>+'Estructura Deuda'!R16</f>
        <v>0</v>
      </c>
      <c r="S17" s="95">
        <f>+'Estructura Deuda'!S16</f>
        <v>0</v>
      </c>
      <c r="T17" s="95">
        <f>+'Estructura Deuda'!T16</f>
        <v>0</v>
      </c>
      <c r="U17" s="95">
        <f>+'Estructura Deuda'!U16</f>
        <v>0</v>
      </c>
      <c r="V17" s="95">
        <f>+'Estructura Deuda'!V16</f>
        <v>0</v>
      </c>
      <c r="W17" s="95">
        <f>+'Estructura Deuda'!W16</f>
        <v>0</v>
      </c>
      <c r="X17" s="95">
        <f>+'Estructura Deuda'!X16</f>
        <v>0</v>
      </c>
      <c r="Z17" s="84"/>
    </row>
    <row r="18" spans="1:26" x14ac:dyDescent="0.25">
      <c r="Z18" s="83"/>
    </row>
    <row r="38" spans="1:3" x14ac:dyDescent="0.25">
      <c r="A38" s="75" t="s">
        <v>170</v>
      </c>
    </row>
    <row r="40" spans="1:3" x14ac:dyDescent="0.25">
      <c r="A40" t="s">
        <v>171</v>
      </c>
      <c r="B40" s="79" t="s">
        <v>15</v>
      </c>
    </row>
    <row r="41" spans="1:3" x14ac:dyDescent="0.25">
      <c r="A41" t="s">
        <v>167</v>
      </c>
      <c r="B41" s="77">
        <f>'Estructura Deuda'!B40</f>
        <v>0.17199999999999999</v>
      </c>
      <c r="C41" s="80"/>
    </row>
    <row r="42" spans="1:3" x14ac:dyDescent="0.25">
      <c r="A42" t="s">
        <v>168</v>
      </c>
      <c r="B42" s="77">
        <f>'Estructura Deuda'!B41</f>
        <v>0.61899999999999999</v>
      </c>
      <c r="C42" s="80"/>
    </row>
    <row r="43" spans="1:3" x14ac:dyDescent="0.25">
      <c r="A43" t="s">
        <v>169</v>
      </c>
      <c r="B43" s="77">
        <f>'Estructura Deuda'!B42</f>
        <v>0.20699999999999999</v>
      </c>
      <c r="C43" s="80"/>
    </row>
    <row r="44" spans="1:3" x14ac:dyDescent="0.25">
      <c r="A44" t="s">
        <v>20</v>
      </c>
      <c r="B44" s="81">
        <f>SUM(B41:B43)</f>
        <v>0.99799999999999989</v>
      </c>
      <c r="C44" s="80"/>
    </row>
    <row r="57" spans="1:2" x14ac:dyDescent="0.25">
      <c r="A57" s="75" t="s">
        <v>172</v>
      </c>
    </row>
    <row r="59" spans="1:2" x14ac:dyDescent="0.25">
      <c r="A59" t="s">
        <v>173</v>
      </c>
      <c r="B59" s="79" t="s">
        <v>15</v>
      </c>
    </row>
    <row r="60" spans="1:2" x14ac:dyDescent="0.25">
      <c r="A60" t="s">
        <v>174</v>
      </c>
      <c r="B60" s="77">
        <f>'Estructura Deuda'!B60</f>
        <v>0.88500000000000001</v>
      </c>
    </row>
    <row r="61" spans="1:2" x14ac:dyDescent="0.25">
      <c r="A61" t="s">
        <v>175</v>
      </c>
      <c r="B61" s="77">
        <f>'Estructura Deuda'!B61</f>
        <v>0.115</v>
      </c>
    </row>
    <row r="62" spans="1:2" x14ac:dyDescent="0.25">
      <c r="B62" s="77">
        <f>SUM(B60:B61)</f>
        <v>1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84"/>
  <sheetViews>
    <sheetView showGridLines="0" tabSelected="1" topLeftCell="A49" workbookViewId="0">
      <selection activeCell="B14" sqref="B14"/>
    </sheetView>
  </sheetViews>
  <sheetFormatPr baseColWidth="10" defaultColWidth="11.44140625" defaultRowHeight="15" customHeight="1" x14ac:dyDescent="0.25"/>
  <cols>
    <col min="1" max="1" width="4" style="2" customWidth="1"/>
    <col min="2" max="2" width="72.44140625" style="2" bestFit="1" customWidth="1"/>
    <col min="3" max="4" width="12.6640625" style="2" customWidth="1"/>
    <col min="5" max="5" width="15.5546875" style="2" customWidth="1"/>
    <col min="6" max="9" width="11.44140625" style="2"/>
    <col min="10" max="10" width="14.109375" style="2" bestFit="1" customWidth="1"/>
    <col min="11" max="16384" width="11.44140625" style="2"/>
  </cols>
  <sheetData>
    <row r="1" spans="1:11" ht="15" customHeight="1" x14ac:dyDescent="0.25">
      <c r="A1" s="1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5" customHeigh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s="3" customFormat="1" ht="15" customHeight="1" thickBot="1" x14ac:dyDescent="0.35">
      <c r="B3" s="4" t="s">
        <v>1</v>
      </c>
      <c r="C3" s="107" t="s">
        <v>204</v>
      </c>
      <c r="D3" s="107" t="s">
        <v>205</v>
      </c>
      <c r="E3" s="108" t="s">
        <v>180</v>
      </c>
      <c r="F3" s="48"/>
      <c r="G3" s="109" t="s">
        <v>202</v>
      </c>
      <c r="H3" s="41"/>
      <c r="I3" s="41"/>
      <c r="J3" s="41"/>
      <c r="K3" s="41"/>
    </row>
    <row r="4" spans="1:11" ht="15" customHeight="1" x14ac:dyDescent="0.3">
      <c r="B4" s="6" t="s">
        <v>2</v>
      </c>
      <c r="C4" s="92">
        <v>506458487</v>
      </c>
      <c r="D4" s="92">
        <v>478769061</v>
      </c>
      <c r="E4" s="180">
        <v>5.8000000000000003E-2</v>
      </c>
      <c r="F4" s="48"/>
      <c r="G4" s="92">
        <v>27689426</v>
      </c>
      <c r="H4" s="28"/>
      <c r="I4" s="28"/>
      <c r="J4" s="28"/>
      <c r="K4" s="28"/>
    </row>
    <row r="5" spans="1:11" s="8" customFormat="1" ht="15" customHeight="1" x14ac:dyDescent="0.3">
      <c r="B5" s="6" t="s">
        <v>3</v>
      </c>
      <c r="C5" s="92">
        <v>-245072035</v>
      </c>
      <c r="D5" s="92">
        <v>-244793070</v>
      </c>
      <c r="E5" s="180">
        <v>1E-3</v>
      </c>
      <c r="F5" s="48"/>
      <c r="G5" s="92">
        <v>-278965</v>
      </c>
      <c r="H5" s="42"/>
      <c r="I5" s="42"/>
      <c r="J5" s="42"/>
      <c r="K5" s="42"/>
    </row>
    <row r="6" spans="1:11" s="8" customFormat="1" ht="15" customHeight="1" x14ac:dyDescent="0.3">
      <c r="B6" s="9" t="s">
        <v>4</v>
      </c>
      <c r="C6" s="112">
        <v>261386452</v>
      </c>
      <c r="D6" s="112">
        <v>233975991</v>
      </c>
      <c r="E6" s="181">
        <v>0.11700000000000001</v>
      </c>
      <c r="F6" s="54"/>
      <c r="G6" s="112">
        <v>27410461</v>
      </c>
      <c r="H6" s="42"/>
      <c r="I6" s="42"/>
      <c r="J6" s="10"/>
      <c r="K6" s="42"/>
    </row>
    <row r="7" spans="1:11" s="8" customFormat="1" ht="15" customHeight="1" x14ac:dyDescent="0.3">
      <c r="B7" s="6" t="s">
        <v>5</v>
      </c>
      <c r="C7" s="92">
        <v>-69205148</v>
      </c>
      <c r="D7" s="92">
        <v>-67150111</v>
      </c>
      <c r="E7" s="180">
        <v>3.1E-2</v>
      </c>
      <c r="F7" s="48"/>
      <c r="G7" s="92">
        <v>-2055037</v>
      </c>
      <c r="H7" s="42"/>
      <c r="I7" s="42"/>
      <c r="J7" s="10"/>
      <c r="K7" s="42"/>
    </row>
    <row r="8" spans="1:11" s="8" customFormat="1" ht="15" customHeight="1" x14ac:dyDescent="0.3">
      <c r="B8" s="9" t="s">
        <v>6</v>
      </c>
      <c r="C8" s="112">
        <v>192181304</v>
      </c>
      <c r="D8" s="112">
        <v>166825880</v>
      </c>
      <c r="E8" s="181">
        <v>0.152</v>
      </c>
      <c r="F8" s="54"/>
      <c r="G8" s="112">
        <v>25355424</v>
      </c>
      <c r="H8" s="42"/>
      <c r="I8" s="42"/>
      <c r="J8" s="10"/>
      <c r="K8" s="42"/>
    </row>
    <row r="9" spans="1:11" s="8" customFormat="1" ht="15" customHeight="1" x14ac:dyDescent="0.3">
      <c r="B9" s="6" t="s">
        <v>68</v>
      </c>
      <c r="C9" s="92">
        <v>3636892</v>
      </c>
      <c r="D9" s="92">
        <v>-3967292</v>
      </c>
      <c r="E9" s="180">
        <v>-1.917</v>
      </c>
      <c r="F9" s="54"/>
      <c r="G9" s="92">
        <v>7604184</v>
      </c>
      <c r="H9" s="42"/>
      <c r="I9" s="42"/>
      <c r="J9" s="10"/>
      <c r="K9" s="42"/>
    </row>
    <row r="10" spans="1:11" s="8" customFormat="1" ht="15" customHeight="1" x14ac:dyDescent="0.3">
      <c r="B10" s="6" t="s">
        <v>195</v>
      </c>
      <c r="C10" s="182" t="s">
        <v>222</v>
      </c>
      <c r="D10" s="92">
        <v>-1404946</v>
      </c>
      <c r="E10" s="180">
        <v>-1</v>
      </c>
      <c r="F10" s="54"/>
      <c r="G10" s="92">
        <v>1404946</v>
      </c>
      <c r="H10" s="42"/>
      <c r="I10" s="42"/>
      <c r="J10" s="10"/>
      <c r="K10" s="42"/>
    </row>
    <row r="11" spans="1:11" s="8" customFormat="1" ht="15" customHeight="1" x14ac:dyDescent="0.3">
      <c r="B11" s="6" t="s">
        <v>7</v>
      </c>
      <c r="C11" s="92">
        <v>-76941426</v>
      </c>
      <c r="D11" s="92">
        <v>-47163392</v>
      </c>
      <c r="E11" s="180">
        <v>0.63100000000000001</v>
      </c>
      <c r="F11" s="57"/>
      <c r="G11" s="92">
        <v>-29778034</v>
      </c>
      <c r="H11" s="42"/>
      <c r="I11" s="42"/>
      <c r="J11" s="42"/>
      <c r="K11" s="42"/>
    </row>
    <row r="12" spans="1:11" s="8" customFormat="1" ht="15" customHeight="1" x14ac:dyDescent="0.3">
      <c r="B12" s="6" t="s">
        <v>8</v>
      </c>
      <c r="C12" s="92">
        <v>-19665778</v>
      </c>
      <c r="D12" s="92">
        <v>-26817906</v>
      </c>
      <c r="E12" s="180">
        <v>-0.26700000000000002</v>
      </c>
      <c r="F12" s="48"/>
      <c r="G12" s="92">
        <v>7152128</v>
      </c>
      <c r="H12" s="42"/>
      <c r="I12" s="42"/>
      <c r="J12" s="10"/>
      <c r="K12" s="42"/>
    </row>
    <row r="13" spans="1:11" s="8" customFormat="1" ht="15" customHeight="1" x14ac:dyDescent="0.3">
      <c r="B13" s="6" t="s">
        <v>192</v>
      </c>
      <c r="C13" s="182" t="s">
        <v>222</v>
      </c>
      <c r="D13" s="92">
        <v>11671443</v>
      </c>
      <c r="E13" s="180">
        <v>-1</v>
      </c>
      <c r="F13" s="48"/>
      <c r="G13" s="92">
        <v>-11671443</v>
      </c>
      <c r="H13" s="42"/>
      <c r="I13" s="42"/>
      <c r="J13" s="10"/>
      <c r="K13" s="42"/>
    </row>
    <row r="14" spans="1:11" s="8" customFormat="1" ht="15" customHeight="1" x14ac:dyDescent="0.3">
      <c r="B14" s="9" t="s">
        <v>9</v>
      </c>
      <c r="C14" s="92">
        <v>-50221270</v>
      </c>
      <c r="D14" s="92">
        <v>-50918660</v>
      </c>
      <c r="E14" s="180">
        <v>-1.4E-2</v>
      </c>
      <c r="F14" s="54"/>
      <c r="G14" s="92">
        <v>697390</v>
      </c>
      <c r="H14" s="42"/>
      <c r="I14" s="42"/>
      <c r="J14" s="42"/>
      <c r="K14" s="42"/>
    </row>
    <row r="15" spans="1:11" ht="15" customHeight="1" x14ac:dyDescent="0.25">
      <c r="C15" s="112">
        <v>48989722</v>
      </c>
      <c r="D15" s="112">
        <v>48225127</v>
      </c>
      <c r="E15" s="181">
        <v>1.6E-2</v>
      </c>
      <c r="F15" s="42"/>
      <c r="G15" s="112">
        <v>764595</v>
      </c>
      <c r="H15" s="42"/>
      <c r="I15" s="42"/>
      <c r="J15" s="42"/>
      <c r="K15" s="42"/>
    </row>
    <row r="16" spans="1:11" s="8" customFormat="1" ht="15" customHeight="1" x14ac:dyDescent="0.25">
      <c r="A16" s="1" t="s">
        <v>10</v>
      </c>
      <c r="B16" s="2"/>
      <c r="C16" s="28"/>
      <c r="D16" s="28"/>
      <c r="E16" s="28"/>
      <c r="F16" s="28"/>
      <c r="G16" s="28"/>
      <c r="H16" s="28"/>
      <c r="I16" s="28"/>
      <c r="J16" s="28"/>
      <c r="K16" s="28"/>
    </row>
    <row r="17" spans="2:13" s="8" customFormat="1" ht="15" customHeight="1" x14ac:dyDescent="0.3">
      <c r="B17" s="2"/>
      <c r="C17" s="44"/>
      <c r="D17" s="44"/>
      <c r="E17" s="45"/>
      <c r="F17" s="46"/>
      <c r="G17" s="44"/>
      <c r="H17" s="42"/>
      <c r="I17" s="42"/>
      <c r="J17" s="42"/>
      <c r="K17" s="42"/>
    </row>
    <row r="18" spans="2:13" s="8" customFormat="1" ht="15" customHeight="1" thickBot="1" x14ac:dyDescent="0.35">
      <c r="B18" s="5"/>
      <c r="C18" s="199" t="str">
        <f>C3</f>
        <v xml:space="preserve">         Dic. 21</v>
      </c>
      <c r="D18" s="199"/>
      <c r="E18" s="48"/>
      <c r="F18" s="199" t="str">
        <f>D3</f>
        <v xml:space="preserve">               Dic. 20</v>
      </c>
      <c r="G18" s="199"/>
      <c r="H18" s="48"/>
      <c r="I18" s="199" t="s">
        <v>11</v>
      </c>
      <c r="J18" s="199"/>
      <c r="K18" s="42"/>
    </row>
    <row r="19" spans="2:13" s="8" customFormat="1" ht="15" customHeight="1" x14ac:dyDescent="0.3">
      <c r="B19" s="5"/>
      <c r="C19" s="58" t="s">
        <v>12</v>
      </c>
      <c r="D19" s="200" t="s">
        <v>13</v>
      </c>
      <c r="E19" s="48"/>
      <c r="F19" s="58" t="s">
        <v>12</v>
      </c>
      <c r="G19" s="200" t="s">
        <v>13</v>
      </c>
      <c r="H19" s="48"/>
      <c r="I19" s="200" t="s">
        <v>14</v>
      </c>
      <c r="J19" s="200" t="s">
        <v>15</v>
      </c>
      <c r="K19" s="42"/>
    </row>
    <row r="20" spans="2:13" s="8" customFormat="1" ht="15" customHeight="1" thickBot="1" x14ac:dyDescent="0.35">
      <c r="B20" s="5"/>
      <c r="C20" s="49" t="s">
        <v>14</v>
      </c>
      <c r="D20" s="198"/>
      <c r="E20" s="48"/>
      <c r="F20" s="49" t="s">
        <v>14</v>
      </c>
      <c r="G20" s="198"/>
      <c r="H20" s="48"/>
      <c r="I20" s="198"/>
      <c r="J20" s="198"/>
      <c r="K20" s="42"/>
      <c r="M20" s="17"/>
    </row>
    <row r="21" spans="2:13" s="8" customFormat="1" ht="15" customHeight="1" x14ac:dyDescent="0.3">
      <c r="B21" s="6" t="s">
        <v>16</v>
      </c>
      <c r="C21" s="92">
        <v>205176457</v>
      </c>
      <c r="D21" s="180">
        <v>0.40500000000000003</v>
      </c>
      <c r="E21" s="48"/>
      <c r="F21" s="92">
        <v>195787729</v>
      </c>
      <c r="G21" s="180">
        <v>0.40899999999999997</v>
      </c>
      <c r="H21" s="182"/>
      <c r="I21" s="50">
        <f>C21-F21</f>
        <v>9388728</v>
      </c>
      <c r="J21" s="51">
        <f>C21/F21-1</f>
        <v>4.7953607960793176E-2</v>
      </c>
      <c r="K21" s="42"/>
      <c r="M21" s="17"/>
    </row>
    <row r="22" spans="2:13" s="8" customFormat="1" ht="15" customHeight="1" x14ac:dyDescent="0.3">
      <c r="B22" s="6" t="s">
        <v>17</v>
      </c>
      <c r="C22" s="92">
        <v>229804561</v>
      </c>
      <c r="D22" s="180">
        <v>0.45400000000000001</v>
      </c>
      <c r="E22" s="48"/>
      <c r="F22" s="92">
        <v>219123955</v>
      </c>
      <c r="G22" s="180">
        <v>0.45800000000000002</v>
      </c>
      <c r="H22" s="182"/>
      <c r="I22" s="50">
        <f t="shared" ref="I22:I25" si="0">C22-F22</f>
        <v>10680606</v>
      </c>
      <c r="J22" s="51">
        <f t="shared" ref="J22:J25" si="1">C22/F22-1</f>
        <v>4.8742302045433616E-2</v>
      </c>
      <c r="K22" s="42"/>
      <c r="M22" s="17"/>
    </row>
    <row r="23" spans="2:13" s="8" customFormat="1" ht="15" customHeight="1" x14ac:dyDescent="0.3">
      <c r="B23" s="6" t="s">
        <v>18</v>
      </c>
      <c r="C23" s="92">
        <v>13821438</v>
      </c>
      <c r="D23" s="180">
        <v>2.7E-2</v>
      </c>
      <c r="E23" s="48"/>
      <c r="F23" s="92">
        <v>13004110</v>
      </c>
      <c r="G23" s="180">
        <v>2.7E-2</v>
      </c>
      <c r="H23" s="182"/>
      <c r="I23" s="50">
        <f t="shared" si="0"/>
        <v>817328</v>
      </c>
      <c r="J23" s="51">
        <f t="shared" si="1"/>
        <v>6.2851513867538733E-2</v>
      </c>
      <c r="K23" s="42"/>
      <c r="M23" s="17"/>
    </row>
    <row r="24" spans="2:13" s="8" customFormat="1" ht="15" customHeight="1" thickBot="1" x14ac:dyDescent="0.35">
      <c r="B24" s="43" t="s">
        <v>19</v>
      </c>
      <c r="C24" s="111">
        <v>57656031</v>
      </c>
      <c r="D24" s="183">
        <v>0.114</v>
      </c>
      <c r="E24" s="48"/>
      <c r="F24" s="111">
        <v>50853267</v>
      </c>
      <c r="G24" s="183">
        <v>0.106</v>
      </c>
      <c r="H24" s="182"/>
      <c r="I24" s="62">
        <f t="shared" si="0"/>
        <v>6802764</v>
      </c>
      <c r="J24" s="61">
        <f t="shared" si="1"/>
        <v>0.1337724083685714</v>
      </c>
      <c r="K24" s="42"/>
      <c r="L24" s="18"/>
      <c r="M24" s="17"/>
    </row>
    <row r="25" spans="2:13" s="8" customFormat="1" ht="15" customHeight="1" thickTop="1" x14ac:dyDescent="0.3">
      <c r="B25" s="9" t="s">
        <v>20</v>
      </c>
      <c r="C25" s="112">
        <v>136542366</v>
      </c>
      <c r="D25" s="113">
        <v>1</v>
      </c>
      <c r="E25" s="48"/>
      <c r="F25" s="112">
        <v>140847723</v>
      </c>
      <c r="G25" s="113">
        <v>1</v>
      </c>
      <c r="H25" s="48"/>
      <c r="I25" s="52">
        <f t="shared" si="0"/>
        <v>-4305357</v>
      </c>
      <c r="J25" s="53">
        <f t="shared" si="1"/>
        <v>-3.0567459013874143E-2</v>
      </c>
      <c r="K25" s="42"/>
    </row>
    <row r="26" spans="2:13" s="8" customFormat="1" ht="15" customHeight="1" x14ac:dyDescent="0.25">
      <c r="B26" s="42"/>
      <c r="C26" s="47"/>
      <c r="D26" s="42"/>
      <c r="E26" s="42"/>
      <c r="F26" s="47"/>
      <c r="G26" s="42"/>
      <c r="H26" s="42"/>
      <c r="I26" s="47"/>
      <c r="J26" s="42"/>
      <c r="K26" s="42"/>
    </row>
    <row r="27" spans="2:13" s="8" customFormat="1" ht="15" customHeight="1" thickBot="1" x14ac:dyDescent="0.35">
      <c r="B27" s="4" t="s">
        <v>21</v>
      </c>
      <c r="C27" s="49" t="str">
        <f>C3</f>
        <v xml:space="preserve">         Dic. 21</v>
      </c>
      <c r="D27" s="49" t="str">
        <f>D3</f>
        <v xml:space="preserve">               Dic. 20</v>
      </c>
      <c r="E27" s="49" t="s">
        <v>22</v>
      </c>
      <c r="F27" s="48"/>
      <c r="G27" s="49" t="s">
        <v>23</v>
      </c>
      <c r="H27" s="42"/>
      <c r="I27" s="42"/>
      <c r="J27" s="42"/>
      <c r="K27" s="42"/>
    </row>
    <row r="28" spans="2:13" s="8" customFormat="1" ht="15" customHeight="1" x14ac:dyDescent="0.3">
      <c r="B28" s="6" t="s">
        <v>24</v>
      </c>
      <c r="C28" s="92">
        <v>535738</v>
      </c>
      <c r="D28" s="92">
        <v>533881</v>
      </c>
      <c r="E28" s="180">
        <v>3.0000000000000001E-3</v>
      </c>
      <c r="F28" s="99"/>
      <c r="G28" s="184">
        <v>1857</v>
      </c>
      <c r="H28" s="42"/>
      <c r="I28" s="10"/>
      <c r="J28" s="42"/>
      <c r="K28" s="42"/>
    </row>
    <row r="29" spans="2:13" s="8" customFormat="1" ht="15" customHeight="1" x14ac:dyDescent="0.3">
      <c r="B29" s="6" t="s">
        <v>25</v>
      </c>
      <c r="C29" s="92">
        <v>514218</v>
      </c>
      <c r="D29" s="92">
        <v>511267</v>
      </c>
      <c r="E29" s="180">
        <v>6.0000000000000001E-3</v>
      </c>
      <c r="F29" s="99"/>
      <c r="G29" s="184">
        <v>2951</v>
      </c>
      <c r="H29" s="42"/>
      <c r="I29" s="10"/>
      <c r="J29" s="42"/>
      <c r="K29" s="42"/>
    </row>
    <row r="30" spans="2:13" ht="15" customHeight="1" x14ac:dyDescent="0.3">
      <c r="B30" s="6" t="s">
        <v>26</v>
      </c>
      <c r="C30" s="92">
        <v>443596</v>
      </c>
      <c r="D30" s="92">
        <v>440582</v>
      </c>
      <c r="E30" s="180">
        <v>7.0000000000000001E-3</v>
      </c>
      <c r="F30" s="99"/>
      <c r="G30" s="184">
        <v>3014</v>
      </c>
      <c r="H30" s="42"/>
      <c r="I30" s="10"/>
      <c r="J30" s="42"/>
      <c r="K30" s="42"/>
    </row>
    <row r="31" spans="2:13" ht="15" customHeight="1" x14ac:dyDescent="0.25">
      <c r="B31" s="6" t="s">
        <v>27</v>
      </c>
      <c r="C31" s="92">
        <v>124277</v>
      </c>
      <c r="D31" s="92">
        <v>124710</v>
      </c>
      <c r="E31" s="180">
        <v>-3.0000000000000001E-3</v>
      </c>
      <c r="F31" s="102"/>
      <c r="G31" s="185">
        <v>-433</v>
      </c>
      <c r="H31" s="28"/>
      <c r="I31" s="28"/>
      <c r="J31" s="28"/>
      <c r="K31" s="28"/>
    </row>
    <row r="32" spans="2:13" ht="15" customHeight="1" x14ac:dyDescent="0.3">
      <c r="B32" s="5"/>
      <c r="C32" s="48"/>
      <c r="D32" s="48"/>
      <c r="E32" s="48"/>
      <c r="F32" s="48"/>
      <c r="G32" s="48"/>
      <c r="H32" s="28"/>
      <c r="I32" s="28"/>
      <c r="J32" s="28"/>
      <c r="K32" s="28"/>
    </row>
    <row r="33" spans="2:11" ht="15" customHeight="1" thickBot="1" x14ac:dyDescent="0.35">
      <c r="B33" s="4" t="s">
        <v>28</v>
      </c>
      <c r="C33" s="49" t="str">
        <f>C3</f>
        <v xml:space="preserve">         Dic. 21</v>
      </c>
      <c r="D33" s="49" t="str">
        <f>D3</f>
        <v xml:space="preserve">               Dic. 20</v>
      </c>
      <c r="E33" s="49" t="s">
        <v>22</v>
      </c>
      <c r="F33" s="48"/>
      <c r="G33" s="49" t="s">
        <v>23</v>
      </c>
      <c r="H33" s="28"/>
      <c r="I33" s="28"/>
      <c r="J33" s="28"/>
      <c r="K33" s="28"/>
    </row>
    <row r="34" spans="2:11" ht="15" customHeight="1" x14ac:dyDescent="0.3">
      <c r="B34" s="6" t="s">
        <v>24</v>
      </c>
      <c r="C34" s="92">
        <v>2207344</v>
      </c>
      <c r="D34" s="92">
        <v>2169426</v>
      </c>
      <c r="E34" s="180">
        <v>1.7000000000000001E-2</v>
      </c>
      <c r="F34" s="99"/>
      <c r="G34" s="184">
        <v>37918</v>
      </c>
      <c r="H34" s="28"/>
      <c r="I34" s="28"/>
      <c r="J34" s="28"/>
      <c r="K34" s="28"/>
    </row>
    <row r="35" spans="2:11" ht="15" customHeight="1" x14ac:dyDescent="0.3">
      <c r="B35" s="6" t="s">
        <v>25</v>
      </c>
      <c r="C35" s="92">
        <v>2162909</v>
      </c>
      <c r="D35" s="92">
        <v>2125918</v>
      </c>
      <c r="E35" s="180">
        <v>1.7000000000000001E-2</v>
      </c>
      <c r="F35" s="99"/>
      <c r="G35" s="184">
        <v>36991</v>
      </c>
      <c r="H35" s="28"/>
      <c r="I35" s="28"/>
      <c r="J35" s="28"/>
      <c r="K35" s="28"/>
    </row>
    <row r="36" spans="2:11" ht="15" customHeight="1" x14ac:dyDescent="0.25">
      <c r="B36" s="27"/>
      <c r="C36" s="27"/>
      <c r="D36" s="28"/>
      <c r="E36" s="28"/>
      <c r="F36" s="28"/>
      <c r="G36" s="28"/>
      <c r="H36" s="28"/>
      <c r="I36" s="28"/>
      <c r="J36" s="28"/>
      <c r="K36" s="28"/>
    </row>
    <row r="37" spans="2:11" ht="15" customHeight="1" x14ac:dyDescent="0.25">
      <c r="B37" s="29" t="s">
        <v>29</v>
      </c>
      <c r="C37" s="27"/>
      <c r="D37" s="28"/>
      <c r="E37" s="28"/>
      <c r="F37" s="28"/>
      <c r="G37" s="28"/>
      <c r="H37" s="28"/>
      <c r="I37" s="28"/>
      <c r="J37" s="28"/>
      <c r="K37" s="28"/>
    </row>
    <row r="38" spans="2:11" ht="13.8" thickBot="1" x14ac:dyDescent="0.3">
      <c r="B38" s="20" t="s">
        <v>30</v>
      </c>
      <c r="C38" s="64" t="str">
        <f>C3</f>
        <v xml:space="preserve">         Dic. 21</v>
      </c>
      <c r="D38" s="64" t="str">
        <f>D3</f>
        <v xml:space="preserve">               Dic. 20</v>
      </c>
      <c r="E38" s="64" t="s">
        <v>22</v>
      </c>
      <c r="F38" s="28"/>
      <c r="G38" s="28"/>
      <c r="H38" s="28"/>
      <c r="I38" s="28"/>
      <c r="J38" s="28"/>
      <c r="K38" s="28"/>
    </row>
    <row r="39" spans="2:11" s="3" customFormat="1" ht="13.2" x14ac:dyDescent="0.25">
      <c r="B39" s="6" t="s">
        <v>31</v>
      </c>
      <c r="C39" s="92">
        <v>17138411</v>
      </c>
      <c r="D39" s="92">
        <v>16172406</v>
      </c>
      <c r="E39" s="180">
        <v>0.06</v>
      </c>
      <c r="F39" s="30"/>
      <c r="G39" s="31"/>
      <c r="H39" s="28"/>
      <c r="I39" s="28"/>
      <c r="J39" s="28"/>
      <c r="K39" s="28"/>
    </row>
    <row r="40" spans="2:11" ht="13.2" x14ac:dyDescent="0.25">
      <c r="B40" s="6" t="s">
        <v>32</v>
      </c>
      <c r="C40" s="92">
        <v>6526953</v>
      </c>
      <c r="D40" s="92">
        <v>5480489</v>
      </c>
      <c r="E40" s="180">
        <v>0.191</v>
      </c>
      <c r="F40" s="30"/>
      <c r="G40" s="31"/>
      <c r="H40" s="41"/>
      <c r="I40" s="41"/>
      <c r="J40" s="41"/>
      <c r="K40" s="41"/>
    </row>
    <row r="41" spans="2:11" ht="13.2" x14ac:dyDescent="0.25">
      <c r="B41" s="6" t="s">
        <v>183</v>
      </c>
      <c r="C41" s="92">
        <v>6336097</v>
      </c>
      <c r="D41" s="92">
        <v>6257482</v>
      </c>
      <c r="E41" s="180">
        <v>1.2999999999999999E-2</v>
      </c>
      <c r="F41" s="30"/>
      <c r="G41" s="31"/>
      <c r="H41" s="28"/>
      <c r="I41" s="28"/>
      <c r="J41" s="28"/>
      <c r="K41" s="28"/>
    </row>
    <row r="42" spans="2:11" ht="13.2" x14ac:dyDescent="0.25">
      <c r="B42" s="6" t="s">
        <v>33</v>
      </c>
      <c r="C42" s="92">
        <v>896583</v>
      </c>
      <c r="D42" s="92">
        <v>339931</v>
      </c>
      <c r="E42" s="180">
        <v>1.6379999999999999</v>
      </c>
      <c r="F42" s="30"/>
      <c r="G42" s="31"/>
      <c r="H42" s="28"/>
      <c r="I42" s="28"/>
      <c r="J42" s="28"/>
      <c r="K42" s="28"/>
    </row>
    <row r="43" spans="2:11" ht="15" customHeight="1" x14ac:dyDescent="0.25">
      <c r="B43" s="9" t="s">
        <v>223</v>
      </c>
      <c r="C43" s="112">
        <v>30898043</v>
      </c>
      <c r="D43" s="112">
        <v>28250309</v>
      </c>
      <c r="E43" s="181">
        <v>9.4E-2</v>
      </c>
      <c r="F43" s="32"/>
      <c r="G43" s="33"/>
      <c r="H43" s="28"/>
      <c r="I43" s="28"/>
      <c r="J43" s="28"/>
      <c r="K43" s="28"/>
    </row>
    <row r="44" spans="2:11" ht="15" customHeight="1" x14ac:dyDescent="0.25">
      <c r="B44" s="22"/>
      <c r="C44" s="22"/>
      <c r="D44" s="22"/>
      <c r="G44" s="21"/>
    </row>
    <row r="45" spans="2:11" ht="15" customHeight="1" thickBot="1" x14ac:dyDescent="0.3">
      <c r="B45" s="5"/>
      <c r="C45" s="49" t="str">
        <f>C3</f>
        <v xml:space="preserve">         Dic. 21</v>
      </c>
      <c r="D45" s="49" t="s">
        <v>197</v>
      </c>
      <c r="E45" s="197" t="s">
        <v>22</v>
      </c>
    </row>
    <row r="46" spans="2:11" ht="15" customHeight="1" thickBot="1" x14ac:dyDescent="0.3">
      <c r="B46" s="35"/>
      <c r="C46" s="49" t="s">
        <v>14</v>
      </c>
      <c r="D46" s="49" t="s">
        <v>14</v>
      </c>
      <c r="E46" s="198"/>
    </row>
    <row r="47" spans="2:11" ht="15" customHeight="1" x14ac:dyDescent="0.3">
      <c r="B47" s="16" t="s">
        <v>36</v>
      </c>
      <c r="C47" s="48"/>
      <c r="D47" s="48"/>
      <c r="E47" s="48"/>
    </row>
    <row r="48" spans="2:11" ht="15" customHeight="1" x14ac:dyDescent="0.25">
      <c r="B48" s="187" t="s">
        <v>37</v>
      </c>
      <c r="C48" s="92">
        <v>285099777</v>
      </c>
      <c r="D48" s="92">
        <v>305478978</v>
      </c>
      <c r="E48" s="180">
        <v>-6.7000000000000004E-2</v>
      </c>
    </row>
    <row r="49" spans="2:5" ht="15" customHeight="1" x14ac:dyDescent="0.25">
      <c r="B49" s="187" t="s">
        <v>38</v>
      </c>
      <c r="C49" s="92">
        <v>2216722469</v>
      </c>
      <c r="D49" s="92">
        <v>2113551778</v>
      </c>
      <c r="E49" s="180">
        <v>4.9000000000000002E-2</v>
      </c>
    </row>
    <row r="50" spans="2:5" ht="15" customHeight="1" x14ac:dyDescent="0.25">
      <c r="B50" s="186" t="s">
        <v>39</v>
      </c>
      <c r="C50" s="112">
        <v>2501822246</v>
      </c>
      <c r="D50" s="112">
        <v>2419030756</v>
      </c>
      <c r="E50" s="181">
        <v>3.4000000000000002E-2</v>
      </c>
    </row>
    <row r="51" spans="2:5" ht="15" customHeight="1" x14ac:dyDescent="0.25">
      <c r="B51" s="188" t="s">
        <v>40</v>
      </c>
      <c r="C51" s="188"/>
      <c r="D51" s="24"/>
      <c r="E51" s="24"/>
    </row>
    <row r="52" spans="2:5" ht="15" customHeight="1" x14ac:dyDescent="0.25">
      <c r="B52" s="187" t="s">
        <v>41</v>
      </c>
      <c r="C52" s="92">
        <v>249136828</v>
      </c>
      <c r="D52" s="92">
        <v>245462938</v>
      </c>
      <c r="E52" s="180">
        <v>1.4999999999999999E-2</v>
      </c>
    </row>
    <row r="53" spans="2:5" ht="15" customHeight="1" x14ac:dyDescent="0.25">
      <c r="B53" s="187" t="s">
        <v>42</v>
      </c>
      <c r="C53" s="92">
        <v>1138295178</v>
      </c>
      <c r="D53" s="92">
        <v>1059920436</v>
      </c>
      <c r="E53" s="180">
        <v>7.3999999999999996E-2</v>
      </c>
    </row>
    <row r="54" spans="2:5" ht="15" customHeight="1" x14ac:dyDescent="0.25">
      <c r="B54" s="186" t="s">
        <v>43</v>
      </c>
      <c r="C54" s="112">
        <v>1387432006</v>
      </c>
      <c r="D54" s="112">
        <v>1305383374</v>
      </c>
      <c r="E54" s="181">
        <v>6.3E-2</v>
      </c>
    </row>
    <row r="55" spans="2:5" ht="15" customHeight="1" x14ac:dyDescent="0.25">
      <c r="B55" s="189"/>
      <c r="C55" s="24"/>
      <c r="D55" s="24"/>
      <c r="E55" s="24"/>
    </row>
    <row r="56" spans="2:5" ht="15" customHeight="1" x14ac:dyDescent="0.25">
      <c r="B56" s="187" t="s">
        <v>44</v>
      </c>
      <c r="C56" s="92">
        <v>693964870</v>
      </c>
      <c r="D56" s="92">
        <v>694120607</v>
      </c>
      <c r="E56" s="180">
        <v>0</v>
      </c>
    </row>
    <row r="57" spans="2:5" ht="15" customHeight="1" x14ac:dyDescent="0.25">
      <c r="B57" s="187" t="s">
        <v>45</v>
      </c>
      <c r="C57" s="92">
        <v>420425370</v>
      </c>
      <c r="D57" s="92">
        <v>419526775</v>
      </c>
      <c r="E57" s="180">
        <v>2E-3</v>
      </c>
    </row>
    <row r="58" spans="2:5" ht="15" customHeight="1" x14ac:dyDescent="0.25">
      <c r="B58" s="186" t="s">
        <v>46</v>
      </c>
      <c r="C58" s="112">
        <v>1114390240</v>
      </c>
      <c r="D58" s="112">
        <v>1113647382</v>
      </c>
      <c r="E58" s="181">
        <v>1E-3</v>
      </c>
    </row>
    <row r="59" spans="2:5" ht="15" customHeight="1" x14ac:dyDescent="0.25">
      <c r="B59" s="186" t="s">
        <v>47</v>
      </c>
      <c r="C59" s="112">
        <v>2501822246</v>
      </c>
      <c r="D59" s="112">
        <v>2419030756</v>
      </c>
      <c r="E59" s="181">
        <v>3.4000000000000002E-2</v>
      </c>
    </row>
    <row r="63" spans="2:5" ht="15" customHeight="1" thickBot="1" x14ac:dyDescent="0.3">
      <c r="B63" s="4" t="s">
        <v>181</v>
      </c>
      <c r="C63" s="49" t="str">
        <f>C3</f>
        <v xml:space="preserve">         Dic. 21</v>
      </c>
      <c r="D63" s="49" t="str">
        <f>D3</f>
        <v xml:space="preserve">               Dic. 20</v>
      </c>
      <c r="E63" s="49" t="s">
        <v>22</v>
      </c>
    </row>
    <row r="64" spans="2:5" ht="15" customHeight="1" x14ac:dyDescent="0.25">
      <c r="B64" s="6" t="s">
        <v>48</v>
      </c>
      <c r="C64" s="92">
        <v>229945799</v>
      </c>
      <c r="D64" s="92">
        <v>183718776</v>
      </c>
      <c r="E64" s="180">
        <v>0.252</v>
      </c>
    </row>
    <row r="65" spans="2:5" ht="15" customHeight="1" x14ac:dyDescent="0.25">
      <c r="B65" s="6" t="s">
        <v>49</v>
      </c>
      <c r="C65" s="92">
        <v>-157671083</v>
      </c>
      <c r="D65" s="92">
        <v>-78371570</v>
      </c>
      <c r="E65" s="180">
        <v>1.012</v>
      </c>
    </row>
    <row r="66" spans="2:5" ht="15" customHeight="1" x14ac:dyDescent="0.25">
      <c r="B66" s="6" t="s">
        <v>50</v>
      </c>
      <c r="C66" s="92">
        <v>-85680689</v>
      </c>
      <c r="D66" s="92">
        <v>-439471</v>
      </c>
      <c r="E66" s="182" t="s">
        <v>224</v>
      </c>
    </row>
    <row r="67" spans="2:5" ht="15" customHeight="1" x14ac:dyDescent="0.25">
      <c r="B67" s="9" t="s">
        <v>70</v>
      </c>
      <c r="C67" s="112">
        <v>-13405973</v>
      </c>
      <c r="D67" s="112">
        <v>104907735</v>
      </c>
      <c r="E67" s="181">
        <v>-1.1279999999999999</v>
      </c>
    </row>
    <row r="68" spans="2:5" ht="15" customHeight="1" x14ac:dyDescent="0.25">
      <c r="B68" s="9" t="s">
        <v>51</v>
      </c>
      <c r="C68" s="112">
        <v>164558880</v>
      </c>
      <c r="D68" s="112">
        <v>177964853</v>
      </c>
      <c r="E68" s="181">
        <v>-7.4999999999999997E-2</v>
      </c>
    </row>
    <row r="70" spans="2:5" ht="15" customHeight="1" x14ac:dyDescent="0.25">
      <c r="B70" s="2" t="s">
        <v>52</v>
      </c>
    </row>
    <row r="71" spans="2:5" ht="15" customHeight="1" thickBot="1" x14ac:dyDescent="0.3">
      <c r="B71" s="36"/>
      <c r="C71" s="37"/>
      <c r="D71" s="72" t="str">
        <f>C3</f>
        <v xml:space="preserve">         Dic. 21</v>
      </c>
      <c r="E71" s="72" t="s">
        <v>197</v>
      </c>
    </row>
    <row r="72" spans="2:5" ht="15" customHeight="1" x14ac:dyDescent="0.3">
      <c r="B72" s="9" t="s">
        <v>53</v>
      </c>
      <c r="C72" s="24"/>
      <c r="D72" s="48"/>
      <c r="E72" s="48"/>
    </row>
    <row r="73" spans="2:5" ht="15" customHeight="1" x14ac:dyDescent="0.25">
      <c r="B73" s="6" t="s">
        <v>54</v>
      </c>
      <c r="C73" s="25" t="s">
        <v>55</v>
      </c>
      <c r="D73" s="182">
        <v>1.1399999999999999</v>
      </c>
      <c r="E73" s="182">
        <v>1.24</v>
      </c>
    </row>
    <row r="74" spans="2:5" ht="15" customHeight="1" x14ac:dyDescent="0.25">
      <c r="B74" s="6" t="s">
        <v>56</v>
      </c>
      <c r="C74" s="25" t="s">
        <v>55</v>
      </c>
      <c r="D74" s="182">
        <v>0.66</v>
      </c>
      <c r="E74" s="182">
        <v>0.73</v>
      </c>
    </row>
    <row r="75" spans="2:5" ht="15" customHeight="1" x14ac:dyDescent="0.25">
      <c r="B75" s="9" t="s">
        <v>57</v>
      </c>
      <c r="C75" s="24"/>
      <c r="D75" s="24"/>
      <c r="E75" s="24"/>
    </row>
    <row r="76" spans="2:5" ht="15" customHeight="1" x14ac:dyDescent="0.25">
      <c r="B76" s="6" t="s">
        <v>58</v>
      </c>
      <c r="C76" s="25" t="s">
        <v>55</v>
      </c>
      <c r="D76" s="182">
        <v>1.25</v>
      </c>
      <c r="E76" s="182">
        <v>1.17</v>
      </c>
    </row>
    <row r="77" spans="2:5" ht="15" customHeight="1" x14ac:dyDescent="0.25">
      <c r="B77" s="6" t="s">
        <v>59</v>
      </c>
      <c r="C77" s="25" t="s">
        <v>55</v>
      </c>
      <c r="D77" s="182">
        <v>0.18</v>
      </c>
      <c r="E77" s="182">
        <v>0.19</v>
      </c>
    </row>
    <row r="78" spans="2:5" ht="15" customHeight="1" x14ac:dyDescent="0.25">
      <c r="B78" s="6" t="s">
        <v>60</v>
      </c>
      <c r="C78" s="25" t="s">
        <v>55</v>
      </c>
      <c r="D78" s="182">
        <v>0.82</v>
      </c>
      <c r="E78" s="182">
        <v>0.81</v>
      </c>
    </row>
    <row r="79" spans="2:5" ht="15" customHeight="1" x14ac:dyDescent="0.25">
      <c r="B79" s="6" t="s">
        <v>61</v>
      </c>
      <c r="C79" s="25" t="s">
        <v>55</v>
      </c>
      <c r="D79" s="182">
        <v>5.27</v>
      </c>
      <c r="E79" s="182">
        <v>5.05</v>
      </c>
    </row>
    <row r="80" spans="2:5" ht="15" customHeight="1" x14ac:dyDescent="0.25">
      <c r="B80" s="9" t="s">
        <v>62</v>
      </c>
      <c r="C80" s="24"/>
      <c r="D80" s="24"/>
      <c r="E80" s="24"/>
    </row>
    <row r="81" spans="2:5" ht="15" customHeight="1" x14ac:dyDescent="0.25">
      <c r="B81" s="26" t="s">
        <v>63</v>
      </c>
      <c r="C81" s="25" t="s">
        <v>15</v>
      </c>
      <c r="D81" s="182">
        <v>7.06</v>
      </c>
      <c r="E81" s="182">
        <v>7.48</v>
      </c>
    </row>
    <row r="82" spans="2:5" ht="15" customHeight="1" x14ac:dyDescent="0.25">
      <c r="B82" s="6" t="s">
        <v>64</v>
      </c>
      <c r="C82" s="25" t="s">
        <v>15</v>
      </c>
      <c r="D82" s="182">
        <v>1.99</v>
      </c>
      <c r="E82" s="182">
        <v>2.06</v>
      </c>
    </row>
    <row r="83" spans="2:5" ht="15" customHeight="1" x14ac:dyDescent="0.25">
      <c r="B83" s="6" t="s">
        <v>65</v>
      </c>
      <c r="C83" s="25" t="s">
        <v>66</v>
      </c>
      <c r="D83" s="182">
        <v>48.99</v>
      </c>
      <c r="E83" s="182">
        <v>48.23</v>
      </c>
    </row>
    <row r="84" spans="2:5" ht="15" customHeight="1" x14ac:dyDescent="0.25">
      <c r="B84" s="6" t="s">
        <v>67</v>
      </c>
      <c r="C84" s="25" t="s">
        <v>15</v>
      </c>
      <c r="D84" s="182">
        <v>13.59</v>
      </c>
      <c r="E84" s="182">
        <v>8.86</v>
      </c>
    </row>
  </sheetData>
  <mergeCells count="8">
    <mergeCell ref="E45:E46"/>
    <mergeCell ref="C18:D18"/>
    <mergeCell ref="F18:G18"/>
    <mergeCell ref="I18:J18"/>
    <mergeCell ref="D19:D20"/>
    <mergeCell ref="G19:G20"/>
    <mergeCell ref="I19:I20"/>
    <mergeCell ref="J19:J20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94"/>
  <sheetViews>
    <sheetView showGridLines="0" tabSelected="1" topLeftCell="A55" workbookViewId="0">
      <selection activeCell="B14" sqref="B14"/>
    </sheetView>
  </sheetViews>
  <sheetFormatPr baseColWidth="10" defaultColWidth="11.44140625" defaultRowHeight="15" customHeight="1" x14ac:dyDescent="0.25"/>
  <cols>
    <col min="1" max="1" width="4" style="2" customWidth="1"/>
    <col min="2" max="2" width="72.44140625" style="2" bestFit="1" customWidth="1"/>
    <col min="3" max="4" width="12.6640625" style="2" customWidth="1"/>
    <col min="5" max="5" width="15.5546875" style="2" customWidth="1"/>
    <col min="6" max="9" width="11.44140625" style="2"/>
    <col min="10" max="10" width="14.109375" style="2" bestFit="1" customWidth="1"/>
    <col min="11" max="16384" width="11.44140625" style="2"/>
  </cols>
  <sheetData>
    <row r="1" spans="1:11" ht="15" customHeight="1" x14ac:dyDescent="0.25">
      <c r="A1" s="1" t="s">
        <v>129</v>
      </c>
      <c r="C1" s="28"/>
      <c r="D1" s="28"/>
      <c r="E1" s="28"/>
      <c r="F1" s="28"/>
      <c r="G1" s="28"/>
      <c r="H1" s="28"/>
      <c r="I1" s="28"/>
      <c r="J1" s="28"/>
      <c r="K1" s="28"/>
    </row>
    <row r="2" spans="1:11" ht="15" customHeight="1" x14ac:dyDescent="0.25">
      <c r="B2" s="38" t="s">
        <v>71</v>
      </c>
      <c r="C2" s="28"/>
      <c r="D2" s="28"/>
      <c r="E2" s="28"/>
      <c r="F2" s="28"/>
      <c r="G2" s="28"/>
      <c r="H2" s="28"/>
      <c r="I2" s="28"/>
      <c r="J2" s="28"/>
      <c r="K2" s="28"/>
    </row>
    <row r="3" spans="1:11" s="3" customFormat="1" ht="15" customHeight="1" thickBot="1" x14ac:dyDescent="0.35">
      <c r="B3" s="39" t="s">
        <v>72</v>
      </c>
      <c r="C3" s="49" t="str">
        <f>+'Latest Results Aguas Andinas'!C3</f>
        <v>Dec. 21</v>
      </c>
      <c r="D3" s="97" t="str">
        <f>+'Latest Results Aguas Andinas'!D3</f>
        <v>Dec. 20</v>
      </c>
      <c r="E3" s="49" t="s">
        <v>180</v>
      </c>
      <c r="F3" s="48"/>
      <c r="G3" s="88" t="s">
        <v>184</v>
      </c>
      <c r="H3" s="41"/>
      <c r="I3" s="41"/>
      <c r="J3" s="41"/>
      <c r="K3" s="41"/>
    </row>
    <row r="4" spans="1:11" ht="15" customHeight="1" x14ac:dyDescent="0.3">
      <c r="B4" s="26" t="s">
        <v>73</v>
      </c>
      <c r="C4" s="50">
        <f>' Ultimos Resultados IAM'!C4</f>
        <v>506458487</v>
      </c>
      <c r="D4" s="50">
        <f>' Ultimos Resultados IAM'!D4</f>
        <v>478769061</v>
      </c>
      <c r="E4" s="51">
        <f>' Ultimos Resultados IAM'!E4</f>
        <v>5.8000000000000003E-2</v>
      </c>
      <c r="F4" s="48"/>
      <c r="G4" s="50">
        <f>' Ultimos Resultados IAM'!G4</f>
        <v>27689426</v>
      </c>
      <c r="H4" s="28"/>
      <c r="I4" s="28"/>
      <c r="J4" s="28"/>
      <c r="K4" s="28"/>
    </row>
    <row r="5" spans="1:11" s="8" customFormat="1" ht="15" customHeight="1" x14ac:dyDescent="0.3">
      <c r="B5" s="26" t="s">
        <v>74</v>
      </c>
      <c r="C5" s="50">
        <f>' Ultimos Resultados IAM'!C5</f>
        <v>-245072035</v>
      </c>
      <c r="D5" s="50">
        <f>' Ultimos Resultados IAM'!D5</f>
        <v>-244793070</v>
      </c>
      <c r="E5" s="51">
        <f>' Ultimos Resultados IAM'!E5</f>
        <v>1E-3</v>
      </c>
      <c r="F5" s="48"/>
      <c r="G5" s="50">
        <f>' Ultimos Resultados IAM'!G5</f>
        <v>-278965</v>
      </c>
      <c r="H5" s="42"/>
      <c r="I5" s="42"/>
      <c r="J5" s="42"/>
      <c r="K5" s="42"/>
    </row>
    <row r="6" spans="1:11" s="8" customFormat="1" ht="15" customHeight="1" x14ac:dyDescent="0.3">
      <c r="B6" s="38" t="s">
        <v>4</v>
      </c>
      <c r="C6" s="52">
        <f>' Ultimos Resultados IAM'!C6</f>
        <v>261386452</v>
      </c>
      <c r="D6" s="52">
        <f>' Ultimos Resultados IAM'!D6</f>
        <v>233975991</v>
      </c>
      <c r="E6" s="53">
        <f>' Ultimos Resultados IAM'!E6</f>
        <v>0.11700000000000001</v>
      </c>
      <c r="F6" s="54"/>
      <c r="G6" s="52">
        <f>' Ultimos Resultados IAM'!G6</f>
        <v>27410461</v>
      </c>
      <c r="H6" s="42"/>
      <c r="I6" s="42"/>
      <c r="J6" s="10"/>
      <c r="K6" s="42"/>
    </row>
    <row r="7" spans="1:11" s="8" customFormat="1" ht="15" customHeight="1" x14ac:dyDescent="0.3">
      <c r="B7" s="26" t="s">
        <v>75</v>
      </c>
      <c r="C7" s="50">
        <f>' Ultimos Resultados IAM'!C7</f>
        <v>-69205148</v>
      </c>
      <c r="D7" s="50">
        <f>' Ultimos Resultados IAM'!D7</f>
        <v>-67150111</v>
      </c>
      <c r="E7" s="51">
        <f>' Ultimos Resultados IAM'!E7</f>
        <v>3.1E-2</v>
      </c>
      <c r="F7" s="48"/>
      <c r="G7" s="50">
        <f>' Ultimos Resultados IAM'!G7</f>
        <v>-2055037</v>
      </c>
      <c r="H7" s="42"/>
      <c r="I7" s="42"/>
      <c r="J7" s="10"/>
      <c r="K7" s="42"/>
    </row>
    <row r="8" spans="1:11" s="8" customFormat="1" ht="15" customHeight="1" x14ac:dyDescent="0.3">
      <c r="B8" s="38" t="s">
        <v>76</v>
      </c>
      <c r="C8" s="52">
        <f>' Ultimos Resultados IAM'!C8</f>
        <v>192181304</v>
      </c>
      <c r="D8" s="52">
        <f>' Ultimos Resultados IAM'!D8</f>
        <v>166825880</v>
      </c>
      <c r="E8" s="53">
        <f>' Ultimos Resultados IAM'!E8</f>
        <v>0.152</v>
      </c>
      <c r="F8" s="54"/>
      <c r="G8" s="52">
        <f>' Ultimos Resultados IAM'!G8</f>
        <v>25355424</v>
      </c>
      <c r="H8" s="42"/>
      <c r="I8" s="42"/>
      <c r="J8" s="10"/>
      <c r="K8" s="42"/>
    </row>
    <row r="9" spans="1:11" s="8" customFormat="1" ht="15" customHeight="1" x14ac:dyDescent="0.3">
      <c r="B9" s="6" t="s">
        <v>68</v>
      </c>
      <c r="C9" s="50">
        <f>' Ultimos Resultados IAM'!C9</f>
        <v>3636892</v>
      </c>
      <c r="D9" s="50">
        <f>' Ultimos Resultados IAM'!D9</f>
        <v>-3967292</v>
      </c>
      <c r="E9" s="55">
        <f>' Ultimos Resultados IAM'!E9</f>
        <v>-1.917</v>
      </c>
      <c r="F9" s="54"/>
      <c r="G9" s="50">
        <f>' Ultimos Resultados IAM'!G9</f>
        <v>7604184</v>
      </c>
      <c r="H9" s="42"/>
      <c r="I9" s="42"/>
      <c r="J9" s="10"/>
      <c r="K9" s="42"/>
    </row>
    <row r="10" spans="1:11" s="8" customFormat="1" ht="15" customHeight="1" x14ac:dyDescent="0.3">
      <c r="B10" s="6" t="s">
        <v>196</v>
      </c>
      <c r="C10" s="50" t="str">
        <f>' Ultimos Resultados IAM'!C10</f>
        <v xml:space="preserve">                         - </v>
      </c>
      <c r="D10" s="50">
        <f>' Ultimos Resultados IAM'!D10</f>
        <v>-1404946</v>
      </c>
      <c r="E10" s="55">
        <f>' Ultimos Resultados IAM'!E10</f>
        <v>-1</v>
      </c>
      <c r="F10" s="54"/>
      <c r="G10" s="50">
        <f>' Ultimos Resultados IAM'!G10</f>
        <v>1404946</v>
      </c>
      <c r="H10" s="42"/>
      <c r="I10" s="42"/>
      <c r="J10" s="10"/>
      <c r="K10" s="42"/>
    </row>
    <row r="11" spans="1:11" s="8" customFormat="1" ht="15" customHeight="1" x14ac:dyDescent="0.3">
      <c r="B11" s="26" t="s">
        <v>77</v>
      </c>
      <c r="C11" s="56">
        <f>' Ultimos Resultados IAM'!C11</f>
        <v>-76941426</v>
      </c>
      <c r="D11" s="56">
        <f>' Ultimos Resultados IAM'!D11</f>
        <v>-47163392</v>
      </c>
      <c r="E11" s="55">
        <f>' Ultimos Resultados IAM'!E11</f>
        <v>0.63100000000000001</v>
      </c>
      <c r="F11" s="57"/>
      <c r="G11" s="56">
        <f>' Ultimos Resultados IAM'!G11</f>
        <v>-29778034</v>
      </c>
      <c r="H11" s="42"/>
      <c r="I11" s="42"/>
      <c r="J11" s="42"/>
      <c r="K11" s="42"/>
    </row>
    <row r="12" spans="1:11" s="8" customFormat="1" ht="15" customHeight="1" x14ac:dyDescent="0.3">
      <c r="B12" s="26" t="s">
        <v>78</v>
      </c>
      <c r="C12" s="50">
        <f>' Ultimos Resultados IAM'!C12</f>
        <v>-19665778</v>
      </c>
      <c r="D12" s="50">
        <f>' Ultimos Resultados IAM'!D12</f>
        <v>-26817906</v>
      </c>
      <c r="E12" s="51">
        <f>' Ultimos Resultados IAM'!E12</f>
        <v>-0.26700000000000002</v>
      </c>
      <c r="F12" s="48"/>
      <c r="G12" s="50">
        <f>' Ultimos Resultados IAM'!G12</f>
        <v>7152128</v>
      </c>
      <c r="H12" s="42"/>
      <c r="I12" s="42"/>
      <c r="J12" s="10"/>
      <c r="K12" s="42"/>
    </row>
    <row r="13" spans="1:11" s="8" customFormat="1" ht="15" customHeight="1" x14ac:dyDescent="0.3">
      <c r="B13" s="26" t="s">
        <v>194</v>
      </c>
      <c r="C13" s="50" t="str">
        <f>' Ultimos Resultados IAM'!C13</f>
        <v xml:space="preserve">                         - </v>
      </c>
      <c r="D13" s="50">
        <f>' Ultimos Resultados IAM'!D13</f>
        <v>11671443</v>
      </c>
      <c r="E13" s="51">
        <f>' Ultimos Resultados IAM'!E13</f>
        <v>-1</v>
      </c>
      <c r="F13" s="48"/>
      <c r="G13" s="50">
        <f>' Ultimos Resultados IAM'!G13</f>
        <v>-11671443</v>
      </c>
      <c r="H13" s="42"/>
      <c r="I13" s="42"/>
      <c r="J13" s="10"/>
      <c r="K13" s="42"/>
    </row>
    <row r="14" spans="1:11" s="8" customFormat="1" ht="15" customHeight="1" x14ac:dyDescent="0.3">
      <c r="B14" s="38" t="s">
        <v>79</v>
      </c>
      <c r="C14" s="52">
        <f>' Ultimos Resultados IAM'!C14</f>
        <v>-50221270</v>
      </c>
      <c r="D14" s="52">
        <f>' Ultimos Resultados IAM'!D14</f>
        <v>-50918660</v>
      </c>
      <c r="E14" s="53">
        <f>' Ultimos Resultados IAM'!E14</f>
        <v>-1.4E-2</v>
      </c>
      <c r="F14" s="54"/>
      <c r="G14" s="52">
        <f>' Ultimos Resultados IAM'!G14</f>
        <v>697390</v>
      </c>
      <c r="H14" s="42"/>
      <c r="I14" s="42"/>
      <c r="J14" s="42"/>
      <c r="K14" s="42"/>
    </row>
    <row r="15" spans="1:11" ht="15" customHeight="1" x14ac:dyDescent="0.25">
      <c r="C15" s="42"/>
      <c r="D15" s="42"/>
      <c r="E15" s="42"/>
      <c r="F15" s="42"/>
      <c r="G15" s="42"/>
      <c r="H15" s="42"/>
      <c r="I15" s="42"/>
      <c r="J15" s="42"/>
      <c r="K15" s="42"/>
    </row>
    <row r="16" spans="1:11" s="8" customFormat="1" ht="15" customHeight="1" x14ac:dyDescent="0.25">
      <c r="A16" s="1" t="s">
        <v>130</v>
      </c>
      <c r="B16" s="11"/>
      <c r="C16" s="28"/>
      <c r="D16" s="28"/>
      <c r="E16" s="28"/>
      <c r="F16" s="28"/>
      <c r="G16" s="28"/>
      <c r="H16" s="28"/>
      <c r="I16" s="28"/>
      <c r="J16" s="28"/>
      <c r="K16" s="28"/>
    </row>
    <row r="17" spans="2:13" s="8" customFormat="1" ht="15" customHeight="1" x14ac:dyDescent="0.3">
      <c r="B17" s="5"/>
      <c r="C17" s="44"/>
      <c r="D17" s="44"/>
      <c r="E17" s="45"/>
      <c r="F17" s="46"/>
      <c r="G17" s="44"/>
      <c r="H17" s="42"/>
      <c r="I17" s="42"/>
      <c r="J17" s="42"/>
      <c r="K17" s="42"/>
    </row>
    <row r="18" spans="2:13" s="8" customFormat="1" ht="15" customHeight="1" thickBot="1" x14ac:dyDescent="0.35">
      <c r="B18" s="5"/>
      <c r="C18" s="199" t="str">
        <f>C3</f>
        <v>Dec. 21</v>
      </c>
      <c r="D18" s="199"/>
      <c r="E18" s="48"/>
      <c r="F18" s="199" t="str">
        <f>D3</f>
        <v>Dec. 20</v>
      </c>
      <c r="G18" s="199"/>
      <c r="H18" s="48"/>
      <c r="I18" s="199" t="s">
        <v>11</v>
      </c>
      <c r="J18" s="199"/>
      <c r="K18" s="15"/>
    </row>
    <row r="19" spans="2:13" s="8" customFormat="1" ht="15" customHeight="1" x14ac:dyDescent="0.3">
      <c r="B19" s="5"/>
      <c r="C19" s="58" t="s">
        <v>81</v>
      </c>
      <c r="D19" s="200" t="s">
        <v>179</v>
      </c>
      <c r="E19" s="48"/>
      <c r="F19" s="58" t="s">
        <v>81</v>
      </c>
      <c r="G19" s="200" t="s">
        <v>179</v>
      </c>
      <c r="H19" s="48"/>
      <c r="I19" s="200" t="s">
        <v>82</v>
      </c>
      <c r="J19" s="200" t="s">
        <v>15</v>
      </c>
      <c r="K19" s="9"/>
    </row>
    <row r="20" spans="2:13" s="8" customFormat="1" ht="15" customHeight="1" thickBot="1" x14ac:dyDescent="0.35">
      <c r="C20" s="49" t="s">
        <v>82</v>
      </c>
      <c r="D20" s="198"/>
      <c r="E20" s="48"/>
      <c r="F20" s="49" t="s">
        <v>82</v>
      </c>
      <c r="G20" s="198"/>
      <c r="H20" s="48"/>
      <c r="I20" s="198"/>
      <c r="J20" s="198"/>
      <c r="K20" s="9"/>
      <c r="M20" s="17"/>
    </row>
    <row r="21" spans="2:13" s="8" customFormat="1" ht="15" customHeight="1" x14ac:dyDescent="0.3">
      <c r="B21" s="6" t="s">
        <v>83</v>
      </c>
      <c r="C21" s="59">
        <f>' Ultimos Resultados IAM'!C21</f>
        <v>205176457</v>
      </c>
      <c r="D21" s="51">
        <f>' Ultimos Resultados IAM'!D21</f>
        <v>0.40500000000000003</v>
      </c>
      <c r="E21" s="48"/>
      <c r="F21" s="59">
        <f>' Ultimos Resultados IAM'!F21</f>
        <v>195787729</v>
      </c>
      <c r="G21" s="51">
        <f>' Ultimos Resultados IAM'!G21</f>
        <v>0.40899999999999997</v>
      </c>
      <c r="H21" s="48"/>
      <c r="I21" s="50">
        <f>' Ultimos Resultados IAM'!I21</f>
        <v>9388728</v>
      </c>
      <c r="J21" s="51">
        <f>' Ultimos Resultados IAM'!J21</f>
        <v>4.7953607960793176E-2</v>
      </c>
      <c r="K21" s="9"/>
      <c r="M21" s="17"/>
    </row>
    <row r="22" spans="2:13" s="8" customFormat="1" ht="15" customHeight="1" x14ac:dyDescent="0.3">
      <c r="B22" s="6" t="s">
        <v>84</v>
      </c>
      <c r="C22" s="59">
        <f>' Ultimos Resultados IAM'!C22</f>
        <v>229804561</v>
      </c>
      <c r="D22" s="51">
        <f>' Ultimos Resultados IAM'!D22</f>
        <v>0.45400000000000001</v>
      </c>
      <c r="E22" s="48"/>
      <c r="F22" s="59">
        <f>' Ultimos Resultados IAM'!F22</f>
        <v>219123955</v>
      </c>
      <c r="G22" s="51">
        <f>' Ultimos Resultados IAM'!G22</f>
        <v>0.45800000000000002</v>
      </c>
      <c r="H22" s="48"/>
      <c r="I22" s="50">
        <f>' Ultimos Resultados IAM'!I22</f>
        <v>10680606</v>
      </c>
      <c r="J22" s="51">
        <f>' Ultimos Resultados IAM'!J22</f>
        <v>4.8742302045433616E-2</v>
      </c>
      <c r="K22" s="9"/>
      <c r="M22" s="17"/>
    </row>
    <row r="23" spans="2:13" s="8" customFormat="1" ht="15" customHeight="1" x14ac:dyDescent="0.3">
      <c r="B23" s="6" t="s">
        <v>85</v>
      </c>
      <c r="C23" s="59">
        <f>' Ultimos Resultados IAM'!C23</f>
        <v>13821438</v>
      </c>
      <c r="D23" s="51">
        <f>' Ultimos Resultados IAM'!D23</f>
        <v>2.7E-2</v>
      </c>
      <c r="E23" s="48"/>
      <c r="F23" s="59">
        <f>' Ultimos Resultados IAM'!F23</f>
        <v>13004110</v>
      </c>
      <c r="G23" s="51">
        <f>' Ultimos Resultados IAM'!G23</f>
        <v>2.7E-2</v>
      </c>
      <c r="H23" s="48"/>
      <c r="I23" s="50">
        <f>' Ultimos Resultados IAM'!I23</f>
        <v>817328</v>
      </c>
      <c r="J23" s="51">
        <f>' Ultimos Resultados IAM'!J23</f>
        <v>6.2851513867538733E-2</v>
      </c>
      <c r="K23" s="9"/>
      <c r="M23" s="17"/>
    </row>
    <row r="24" spans="2:13" s="8" customFormat="1" ht="15" customHeight="1" thickBot="1" x14ac:dyDescent="0.35">
      <c r="B24" s="6" t="s">
        <v>86</v>
      </c>
      <c r="C24" s="60">
        <f>' Ultimos Resultados IAM'!C24</f>
        <v>57656031</v>
      </c>
      <c r="D24" s="61">
        <f>' Ultimos Resultados IAM'!D24</f>
        <v>0.114</v>
      </c>
      <c r="E24" s="48"/>
      <c r="F24" s="60">
        <f>' Ultimos Resultados IAM'!F24</f>
        <v>50853267</v>
      </c>
      <c r="G24" s="61">
        <f>' Ultimos Resultados IAM'!G24</f>
        <v>0.106</v>
      </c>
      <c r="H24" s="48"/>
      <c r="I24" s="62">
        <f>' Ultimos Resultados IAM'!I24</f>
        <v>6802764</v>
      </c>
      <c r="J24" s="61">
        <f>' Ultimos Resultados IAM'!J24</f>
        <v>0.1337724083685714</v>
      </c>
      <c r="K24" s="42"/>
      <c r="L24" s="18"/>
      <c r="M24" s="17"/>
    </row>
    <row r="25" spans="2:13" s="8" customFormat="1" ht="15" customHeight="1" thickTop="1" x14ac:dyDescent="0.3">
      <c r="B25" s="9" t="s">
        <v>20</v>
      </c>
      <c r="C25" s="52">
        <f>' Ultimos Resultados IAM'!C25</f>
        <v>136542366</v>
      </c>
      <c r="D25" s="53">
        <f>' Ultimos Resultados IAM'!D25</f>
        <v>1</v>
      </c>
      <c r="E25" s="48"/>
      <c r="F25" s="52">
        <f>' Ultimos Resultados IAM'!F25</f>
        <v>140847723</v>
      </c>
      <c r="G25" s="53">
        <f>' Ultimos Resultados IAM'!G25</f>
        <v>1</v>
      </c>
      <c r="H25" s="48"/>
      <c r="I25" s="52">
        <f>' Ultimos Resultados IAM'!I25</f>
        <v>-4305357</v>
      </c>
      <c r="J25" s="53">
        <f>' Ultimos Resultados IAM'!J25</f>
        <v>-3.0567459013874143E-2</v>
      </c>
      <c r="K25" s="42"/>
    </row>
    <row r="26" spans="2:13" s="8" customFormat="1" ht="15" customHeight="1" x14ac:dyDescent="0.25">
      <c r="C26" s="47"/>
      <c r="D26" s="42"/>
      <c r="E26" s="42"/>
      <c r="F26" s="47"/>
      <c r="G26" s="42"/>
      <c r="H26" s="42"/>
      <c r="I26" s="47"/>
      <c r="J26" s="42"/>
      <c r="K26" s="42"/>
    </row>
    <row r="27" spans="2:13" s="8" customFormat="1" ht="15" customHeight="1" thickBot="1" x14ac:dyDescent="0.35">
      <c r="B27" s="39" t="s">
        <v>87</v>
      </c>
      <c r="C27" s="49" t="str">
        <f>C3</f>
        <v>Dec. 21</v>
      </c>
      <c r="D27" s="49" t="str">
        <f>D3</f>
        <v>Dec. 20</v>
      </c>
      <c r="E27" s="49" t="s">
        <v>22</v>
      </c>
      <c r="F27" s="48"/>
      <c r="G27" s="49" t="s">
        <v>23</v>
      </c>
      <c r="H27" s="42"/>
      <c r="I27" s="42"/>
      <c r="J27" s="42"/>
      <c r="K27" s="42"/>
    </row>
    <row r="28" spans="2:13" s="8" customFormat="1" ht="15" customHeight="1" x14ac:dyDescent="0.3">
      <c r="B28" s="26" t="s">
        <v>83</v>
      </c>
      <c r="C28" s="59">
        <f>' Ultimos Resultados IAM'!C28</f>
        <v>535738</v>
      </c>
      <c r="D28" s="59">
        <f>' Ultimos Resultados IAM'!D28</f>
        <v>533881</v>
      </c>
      <c r="E28" s="51">
        <f>' Ultimos Resultados IAM'!E28</f>
        <v>3.0000000000000001E-3</v>
      </c>
      <c r="F28" s="48"/>
      <c r="G28" s="50">
        <f>' Ultimos Resultados IAM'!G28</f>
        <v>1857</v>
      </c>
      <c r="H28" s="42"/>
      <c r="I28" s="10"/>
      <c r="J28" s="42"/>
      <c r="K28" s="42"/>
    </row>
    <row r="29" spans="2:13" s="8" customFormat="1" ht="15" customHeight="1" x14ac:dyDescent="0.3">
      <c r="B29" s="26" t="s">
        <v>88</v>
      </c>
      <c r="C29" s="59">
        <f>' Ultimos Resultados IAM'!C29</f>
        <v>514218</v>
      </c>
      <c r="D29" s="59">
        <f>' Ultimos Resultados IAM'!D29</f>
        <v>511267</v>
      </c>
      <c r="E29" s="51">
        <f>' Ultimos Resultados IAM'!E29</f>
        <v>6.0000000000000001E-3</v>
      </c>
      <c r="F29" s="48"/>
      <c r="G29" s="50">
        <f>' Ultimos Resultados IAM'!G29</f>
        <v>2951</v>
      </c>
      <c r="H29" s="42"/>
      <c r="I29" s="10"/>
      <c r="J29" s="42"/>
      <c r="K29" s="42"/>
    </row>
    <row r="30" spans="2:13" ht="15" customHeight="1" x14ac:dyDescent="0.3">
      <c r="B30" s="26" t="s">
        <v>89</v>
      </c>
      <c r="C30" s="59">
        <f>' Ultimos Resultados IAM'!C30</f>
        <v>443596</v>
      </c>
      <c r="D30" s="59">
        <f>' Ultimos Resultados IAM'!D30</f>
        <v>440582</v>
      </c>
      <c r="E30" s="51">
        <f>' Ultimos Resultados IAM'!E30</f>
        <v>7.0000000000000001E-3</v>
      </c>
      <c r="F30" s="48"/>
      <c r="G30" s="50">
        <f>' Ultimos Resultados IAM'!G30</f>
        <v>3014</v>
      </c>
      <c r="H30" s="42"/>
      <c r="I30" s="10"/>
      <c r="J30" s="42"/>
      <c r="K30" s="42"/>
    </row>
    <row r="31" spans="2:13" ht="15" customHeight="1" x14ac:dyDescent="0.25">
      <c r="B31" s="26" t="s">
        <v>90</v>
      </c>
      <c r="C31" s="59">
        <f>' Ultimos Resultados IAM'!C31</f>
        <v>124277</v>
      </c>
      <c r="D31" s="59">
        <f>' Ultimos Resultados IAM'!D31</f>
        <v>124710</v>
      </c>
      <c r="E31" s="51">
        <f>' Ultimos Resultados IAM'!E31</f>
        <v>-3.0000000000000001E-3</v>
      </c>
      <c r="F31" s="63"/>
      <c r="G31" s="50">
        <f>' Ultimos Resultados IAM'!G31</f>
        <v>-433</v>
      </c>
      <c r="H31" s="28"/>
      <c r="I31" s="28"/>
      <c r="J31" s="28"/>
      <c r="K31" s="28"/>
    </row>
    <row r="32" spans="2:13" ht="15" customHeight="1" x14ac:dyDescent="0.3">
      <c r="B32" s="40"/>
      <c r="C32" s="48"/>
      <c r="D32" s="48"/>
      <c r="E32" s="48"/>
      <c r="F32" s="48"/>
      <c r="G32" s="48"/>
      <c r="H32" s="28"/>
      <c r="I32" s="28"/>
      <c r="J32" s="28"/>
      <c r="K32" s="28"/>
    </row>
    <row r="33" spans="2:11" ht="15" customHeight="1" thickBot="1" x14ac:dyDescent="0.35">
      <c r="B33" s="39" t="s">
        <v>91</v>
      </c>
      <c r="C33" s="49" t="str">
        <f>C3</f>
        <v>Dec. 21</v>
      </c>
      <c r="D33" s="49" t="str">
        <f>D3</f>
        <v>Dec. 20</v>
      </c>
      <c r="E33" s="49" t="s">
        <v>22</v>
      </c>
      <c r="F33" s="48"/>
      <c r="G33" s="49" t="s">
        <v>23</v>
      </c>
      <c r="H33" s="28"/>
      <c r="I33" s="28"/>
      <c r="J33" s="28"/>
      <c r="K33" s="28"/>
    </row>
    <row r="34" spans="2:11" ht="15" customHeight="1" x14ac:dyDescent="0.3">
      <c r="B34" s="26" t="s">
        <v>83</v>
      </c>
      <c r="C34" s="59">
        <f>' Ultimos Resultados IAM'!C34</f>
        <v>2207344</v>
      </c>
      <c r="D34" s="59">
        <f>' Ultimos Resultados IAM'!D34</f>
        <v>2169426</v>
      </c>
      <c r="E34" s="51">
        <f>' Ultimos Resultados IAM'!E34</f>
        <v>1.7000000000000001E-2</v>
      </c>
      <c r="F34" s="48"/>
      <c r="G34" s="50">
        <f>' Ultimos Resultados IAM'!G34</f>
        <v>37918</v>
      </c>
      <c r="H34" s="28"/>
      <c r="I34" s="28"/>
      <c r="J34" s="28"/>
      <c r="K34" s="28"/>
    </row>
    <row r="35" spans="2:11" ht="15" customHeight="1" x14ac:dyDescent="0.3">
      <c r="B35" s="26" t="s">
        <v>88</v>
      </c>
      <c r="C35" s="59">
        <f>' Ultimos Resultados IAM'!C35</f>
        <v>2162909</v>
      </c>
      <c r="D35" s="59">
        <f>' Ultimos Resultados IAM'!D35</f>
        <v>2125918</v>
      </c>
      <c r="E35" s="51">
        <f>' Ultimos Resultados IAM'!E35</f>
        <v>1.7000000000000001E-2</v>
      </c>
      <c r="F35" s="48"/>
      <c r="G35" s="50">
        <f>' Ultimos Resultados IAM'!G35</f>
        <v>36991</v>
      </c>
      <c r="H35" s="28"/>
      <c r="I35" s="28"/>
      <c r="J35" s="28"/>
      <c r="K35" s="28"/>
    </row>
    <row r="36" spans="2:11" ht="15" customHeight="1" x14ac:dyDescent="0.25">
      <c r="B36" s="27"/>
      <c r="C36" s="27"/>
      <c r="D36" s="28"/>
      <c r="E36" s="28"/>
      <c r="F36" s="28"/>
      <c r="G36" s="28"/>
      <c r="H36" s="28"/>
      <c r="I36" s="28"/>
      <c r="J36" s="28"/>
      <c r="K36" s="28"/>
    </row>
    <row r="37" spans="2:11" ht="15" customHeight="1" x14ac:dyDescent="0.25">
      <c r="B37" s="29" t="s">
        <v>128</v>
      </c>
      <c r="C37" s="27"/>
      <c r="D37" s="28"/>
      <c r="E37" s="28"/>
      <c r="F37" s="28"/>
      <c r="G37" s="28"/>
      <c r="H37" s="28"/>
      <c r="I37" s="28"/>
      <c r="J37" s="28"/>
      <c r="K37" s="28"/>
    </row>
    <row r="38" spans="2:11" ht="13.8" thickBot="1" x14ac:dyDescent="0.3">
      <c r="B38" s="20" t="s">
        <v>93</v>
      </c>
      <c r="C38" s="64" t="str">
        <f>C3</f>
        <v>Dec. 21</v>
      </c>
      <c r="D38" s="64" t="str">
        <f>D3</f>
        <v>Dec. 20</v>
      </c>
      <c r="E38" s="64" t="s">
        <v>22</v>
      </c>
      <c r="F38" s="28"/>
      <c r="G38" s="28"/>
      <c r="H38" s="28"/>
      <c r="I38" s="28"/>
      <c r="J38" s="28"/>
      <c r="K38" s="28"/>
    </row>
    <row r="39" spans="2:11" ht="13.2" x14ac:dyDescent="0.25">
      <c r="B39" s="6" t="s">
        <v>31</v>
      </c>
      <c r="C39" s="59">
        <f>' Ultimos Resultados IAM'!C39</f>
        <v>17138411</v>
      </c>
      <c r="D39" s="59">
        <f>' Ultimos Resultados IAM'!D39</f>
        <v>16172406</v>
      </c>
      <c r="E39" s="51">
        <f>' Ultimos Resultados IAM'!E39</f>
        <v>0.06</v>
      </c>
      <c r="F39" s="28"/>
      <c r="G39" s="28"/>
      <c r="H39" s="28"/>
      <c r="I39" s="28"/>
      <c r="J39" s="28"/>
      <c r="K39" s="28"/>
    </row>
    <row r="40" spans="2:11" s="3" customFormat="1" ht="13.2" x14ac:dyDescent="0.25">
      <c r="B40" s="6" t="s">
        <v>32</v>
      </c>
      <c r="C40" s="59">
        <f>' Ultimos Resultados IAM'!C40</f>
        <v>6526953</v>
      </c>
      <c r="D40" s="59">
        <f>' Ultimos Resultados IAM'!D40</f>
        <v>5480489</v>
      </c>
      <c r="E40" s="51">
        <f>' Ultimos Resultados IAM'!E40</f>
        <v>0.191</v>
      </c>
      <c r="F40" s="30"/>
      <c r="G40" s="31"/>
      <c r="H40" s="28"/>
      <c r="I40" s="28"/>
      <c r="J40" s="28"/>
      <c r="K40" s="28"/>
    </row>
    <row r="41" spans="2:11" ht="13.2" x14ac:dyDescent="0.25">
      <c r="B41" s="6" t="s">
        <v>183</v>
      </c>
      <c r="C41" s="59">
        <f>' Ultimos Resultados IAM'!C41</f>
        <v>6336097</v>
      </c>
      <c r="D41" s="59">
        <f>' Ultimos Resultados IAM'!D41</f>
        <v>6257482</v>
      </c>
      <c r="E41" s="51">
        <f>' Ultimos Resultados IAM'!E41</f>
        <v>1.2999999999999999E-2</v>
      </c>
      <c r="F41" s="30"/>
      <c r="G41" s="31"/>
      <c r="H41" s="41"/>
      <c r="I41" s="41"/>
      <c r="J41" s="41"/>
      <c r="K41" s="41"/>
    </row>
    <row r="42" spans="2:11" ht="13.2" x14ac:dyDescent="0.25">
      <c r="B42" s="6" t="s">
        <v>33</v>
      </c>
      <c r="C42" s="59">
        <f>' Ultimos Resultados IAM'!C42</f>
        <v>896583</v>
      </c>
      <c r="D42" s="59">
        <f>' Ultimos Resultados IAM'!D42</f>
        <v>339931</v>
      </c>
      <c r="E42" s="51">
        <f>' Ultimos Resultados IAM'!E42</f>
        <v>1.6379999999999999</v>
      </c>
      <c r="F42" s="30"/>
      <c r="G42" s="31"/>
      <c r="H42" s="28"/>
      <c r="I42" s="28"/>
      <c r="J42" s="28"/>
      <c r="K42" s="28"/>
    </row>
    <row r="43" spans="2:11" ht="13.2" x14ac:dyDescent="0.25">
      <c r="B43" s="9" t="s">
        <v>94</v>
      </c>
      <c r="C43" s="190">
        <f>' Ultimos Resultados IAM'!C43</f>
        <v>30898043</v>
      </c>
      <c r="D43" s="190">
        <f>' Ultimos Resultados IAM'!D43</f>
        <v>28250309</v>
      </c>
      <c r="E43" s="53">
        <f>' Ultimos Resultados IAM'!E43</f>
        <v>9.4E-2</v>
      </c>
      <c r="F43" s="30"/>
      <c r="G43" s="31"/>
      <c r="H43" s="28"/>
      <c r="I43" s="28"/>
      <c r="J43" s="28"/>
      <c r="K43" s="28"/>
    </row>
    <row r="44" spans="2:11" ht="15" customHeight="1" x14ac:dyDescent="0.25">
      <c r="B44" s="27"/>
      <c r="F44" s="32"/>
      <c r="G44" s="33"/>
      <c r="H44" s="28"/>
      <c r="I44" s="28"/>
      <c r="J44" s="28"/>
      <c r="K44" s="28"/>
    </row>
    <row r="45" spans="2:11" ht="15" customHeight="1" thickBot="1" x14ac:dyDescent="0.3">
      <c r="B45" s="5"/>
      <c r="C45" s="49" t="str">
        <f>C3</f>
        <v>Dec. 21</v>
      </c>
      <c r="D45" s="97" t="str">
        <f>D3</f>
        <v>Dec. 20</v>
      </c>
      <c r="E45" s="197" t="s">
        <v>22</v>
      </c>
    </row>
    <row r="46" spans="2:11" ht="15" customHeight="1" thickBot="1" x14ac:dyDescent="0.3">
      <c r="B46" s="35"/>
      <c r="C46" s="49" t="s">
        <v>82</v>
      </c>
      <c r="D46" s="49" t="s">
        <v>82</v>
      </c>
      <c r="E46" s="198"/>
    </row>
    <row r="47" spans="2:11" ht="15" customHeight="1" x14ac:dyDescent="0.3">
      <c r="B47" s="16" t="s">
        <v>95</v>
      </c>
      <c r="C47" s="48"/>
      <c r="D47" s="48"/>
      <c r="E47" s="48"/>
    </row>
    <row r="48" spans="2:11" ht="15" customHeight="1" x14ac:dyDescent="0.25">
      <c r="B48" s="6" t="s">
        <v>96</v>
      </c>
      <c r="C48" s="67">
        <f>' Ultimos Resultados IAM'!C48</f>
        <v>285099777</v>
      </c>
      <c r="D48" s="67">
        <f>' Ultimos Resultados IAM'!D48</f>
        <v>305478978</v>
      </c>
      <c r="E48" s="191">
        <f>' Ultimos Resultados IAM'!E48</f>
        <v>-6.7000000000000004E-2</v>
      </c>
    </row>
    <row r="49" spans="2:5" ht="15" customHeight="1" x14ac:dyDescent="0.25">
      <c r="B49" s="6" t="s">
        <v>97</v>
      </c>
      <c r="C49" s="67">
        <f>' Ultimos Resultados IAM'!C49</f>
        <v>2216722469</v>
      </c>
      <c r="D49" s="67">
        <f>' Ultimos Resultados IAM'!D49</f>
        <v>2113551778</v>
      </c>
      <c r="E49" s="191">
        <f>' Ultimos Resultados IAM'!E49</f>
        <v>4.9000000000000002E-2</v>
      </c>
    </row>
    <row r="50" spans="2:5" ht="15" customHeight="1" x14ac:dyDescent="0.25">
      <c r="B50" s="23" t="s">
        <v>98</v>
      </c>
      <c r="C50" s="65">
        <f>' Ultimos Resultados IAM'!C50</f>
        <v>2501822246</v>
      </c>
      <c r="D50" s="65">
        <f>' Ultimos Resultados IAM'!D50</f>
        <v>2419030756</v>
      </c>
      <c r="E50" s="192">
        <f>' Ultimos Resultados IAM'!E50</f>
        <v>3.4000000000000002E-2</v>
      </c>
    </row>
    <row r="51" spans="2:5" ht="15" customHeight="1" x14ac:dyDescent="0.25">
      <c r="B51" s="16" t="s">
        <v>99</v>
      </c>
      <c r="C51" s="67"/>
      <c r="D51" s="67"/>
      <c r="E51" s="191"/>
    </row>
    <row r="52" spans="2:5" ht="15" customHeight="1" x14ac:dyDescent="0.25">
      <c r="B52" s="6" t="s">
        <v>100</v>
      </c>
      <c r="C52" s="67">
        <f>' Ultimos Resultados IAM'!C52</f>
        <v>249136828</v>
      </c>
      <c r="D52" s="67">
        <f>' Ultimos Resultados IAM'!D52</f>
        <v>245462938</v>
      </c>
      <c r="E52" s="191">
        <f>' Ultimos Resultados IAM'!E52</f>
        <v>1.4999999999999999E-2</v>
      </c>
    </row>
    <row r="53" spans="2:5" ht="15" customHeight="1" x14ac:dyDescent="0.25">
      <c r="B53" s="6" t="s">
        <v>101</v>
      </c>
      <c r="C53" s="67">
        <f>' Ultimos Resultados IAM'!C53</f>
        <v>1138295178</v>
      </c>
      <c r="D53" s="67">
        <f>' Ultimos Resultados IAM'!D53</f>
        <v>1059920436</v>
      </c>
      <c r="E53" s="191">
        <f>' Ultimos Resultados IAM'!E53</f>
        <v>7.3999999999999996E-2</v>
      </c>
    </row>
    <row r="54" spans="2:5" ht="15" customHeight="1" x14ac:dyDescent="0.25">
      <c r="B54" s="9" t="s">
        <v>102</v>
      </c>
      <c r="C54" s="67">
        <f>' Ultimos Resultados IAM'!C54</f>
        <v>1387432006</v>
      </c>
      <c r="D54" s="67">
        <f>' Ultimos Resultados IAM'!D54</f>
        <v>1305383374</v>
      </c>
      <c r="E54" s="191">
        <f>' Ultimos Resultados IAM'!E54</f>
        <v>6.3E-2</v>
      </c>
    </row>
    <row r="55" spans="2:5" ht="15" customHeight="1" x14ac:dyDescent="0.25">
      <c r="B55" s="5"/>
      <c r="C55" s="67"/>
      <c r="D55" s="67"/>
      <c r="E55" s="191"/>
    </row>
    <row r="56" spans="2:5" ht="15" customHeight="1" x14ac:dyDescent="0.25">
      <c r="B56" s="6" t="s">
        <v>103</v>
      </c>
      <c r="C56" s="67">
        <f>' Ultimos Resultados IAM'!C56</f>
        <v>693964870</v>
      </c>
      <c r="D56" s="67">
        <f>' Ultimos Resultados IAM'!D56</f>
        <v>694120607</v>
      </c>
      <c r="E56" s="191">
        <f>' Ultimos Resultados IAM'!E56</f>
        <v>0</v>
      </c>
    </row>
    <row r="57" spans="2:5" ht="15" customHeight="1" x14ac:dyDescent="0.25">
      <c r="B57" s="6" t="s">
        <v>104</v>
      </c>
      <c r="C57" s="67">
        <f>' Ultimos Resultados IAM'!C57</f>
        <v>420425370</v>
      </c>
      <c r="D57" s="67">
        <f>' Ultimos Resultados IAM'!D57</f>
        <v>419526775</v>
      </c>
      <c r="E57" s="191">
        <f>' Ultimos Resultados IAM'!E57</f>
        <v>2E-3</v>
      </c>
    </row>
    <row r="58" spans="2:5" ht="15" customHeight="1" x14ac:dyDescent="0.25">
      <c r="B58" s="9" t="s">
        <v>105</v>
      </c>
      <c r="C58" s="65">
        <f>' Ultimos Resultados IAM'!C58</f>
        <v>1114390240</v>
      </c>
      <c r="D58" s="65">
        <f>' Ultimos Resultados IAM'!D58</f>
        <v>1113647382</v>
      </c>
      <c r="E58" s="192">
        <f>' Ultimos Resultados IAM'!E58</f>
        <v>1E-3</v>
      </c>
    </row>
    <row r="59" spans="2:5" ht="15" customHeight="1" x14ac:dyDescent="0.25">
      <c r="B59" s="9" t="s">
        <v>106</v>
      </c>
      <c r="C59" s="65">
        <f>' Ultimos Resultados IAM'!C59</f>
        <v>2501822246</v>
      </c>
      <c r="D59" s="65">
        <f>' Ultimos Resultados IAM'!D59</f>
        <v>2419030756</v>
      </c>
      <c r="E59" s="192">
        <f>' Ultimos Resultados IAM'!E59</f>
        <v>3.4000000000000002E-2</v>
      </c>
    </row>
    <row r="62" spans="2:5" ht="15" customHeight="1" thickBot="1" x14ac:dyDescent="0.3">
      <c r="B62" s="39" t="s">
        <v>107</v>
      </c>
      <c r="C62" s="49" t="str">
        <f>C3</f>
        <v>Dec. 21</v>
      </c>
      <c r="D62" s="89" t="str">
        <f>D3</f>
        <v>Dec. 20</v>
      </c>
      <c r="E62" s="49" t="s">
        <v>22</v>
      </c>
    </row>
    <row r="63" spans="2:5" ht="15" customHeight="1" x14ac:dyDescent="0.25">
      <c r="B63" s="26" t="s">
        <v>108</v>
      </c>
      <c r="C63" s="50">
        <f>' Ultimos Resultados IAM'!C64</f>
        <v>229945799</v>
      </c>
      <c r="D63" s="50">
        <f>' Ultimos Resultados IAM'!D64</f>
        <v>183718776</v>
      </c>
      <c r="E63" s="69">
        <f>' Ultimos Resultados IAM'!E64</f>
        <v>0.252</v>
      </c>
    </row>
    <row r="64" spans="2:5" ht="15" customHeight="1" x14ac:dyDescent="0.25">
      <c r="B64" s="26" t="s">
        <v>109</v>
      </c>
      <c r="C64" s="50">
        <f>' Ultimos Resultados IAM'!C65</f>
        <v>-157671083</v>
      </c>
      <c r="D64" s="50">
        <f>' Ultimos Resultados IAM'!D65</f>
        <v>-78371570</v>
      </c>
      <c r="E64" s="70">
        <f>' Ultimos Resultados IAM'!E65</f>
        <v>1.012</v>
      </c>
    </row>
    <row r="65" spans="2:5" ht="15" customHeight="1" x14ac:dyDescent="0.25">
      <c r="B65" s="26" t="s">
        <v>110</v>
      </c>
      <c r="C65" s="50">
        <f>' Ultimos Resultados IAM'!C66</f>
        <v>-85680689</v>
      </c>
      <c r="D65" s="50">
        <f>' Ultimos Resultados IAM'!D66</f>
        <v>-439471</v>
      </c>
      <c r="E65" s="70" t="str">
        <f>' Ultimos Resultados IAM'!E66</f>
        <v xml:space="preserve">&gt;200,0% </v>
      </c>
    </row>
    <row r="66" spans="2:5" ht="15" customHeight="1" x14ac:dyDescent="0.25">
      <c r="B66" s="38" t="s">
        <v>111</v>
      </c>
      <c r="C66" s="52">
        <f>' Ultimos Resultados IAM'!C67</f>
        <v>-13405973</v>
      </c>
      <c r="D66" s="52">
        <f>' Ultimos Resultados IAM'!D67</f>
        <v>104907735</v>
      </c>
      <c r="E66" s="71">
        <f>' Ultimos Resultados IAM'!E67</f>
        <v>-1.1279999999999999</v>
      </c>
    </row>
    <row r="67" spans="2:5" ht="15" customHeight="1" x14ac:dyDescent="0.25">
      <c r="B67" s="38" t="s">
        <v>112</v>
      </c>
      <c r="C67" s="52">
        <f>' Ultimos Resultados IAM'!C68</f>
        <v>164558880</v>
      </c>
      <c r="D67" s="52">
        <f>' Ultimos Resultados IAM'!D68</f>
        <v>177964853</v>
      </c>
      <c r="E67" s="71">
        <f>' Ultimos Resultados IAM'!E68</f>
        <v>-7.4999999999999997E-2</v>
      </c>
    </row>
    <row r="69" spans="2:5" ht="15" customHeight="1" x14ac:dyDescent="0.25">
      <c r="B69" s="2" t="s">
        <v>127</v>
      </c>
    </row>
    <row r="70" spans="2:5" ht="15" customHeight="1" thickBot="1" x14ac:dyDescent="0.3">
      <c r="B70" s="4"/>
      <c r="C70" s="37"/>
      <c r="D70" s="72" t="str">
        <f>C3</f>
        <v>Dec. 21</v>
      </c>
      <c r="E70" s="72" t="str">
        <f>D45</f>
        <v>Dec. 20</v>
      </c>
    </row>
    <row r="71" spans="2:5" ht="15" customHeight="1" x14ac:dyDescent="0.3">
      <c r="B71" s="6" t="s">
        <v>113</v>
      </c>
      <c r="C71" s="24"/>
      <c r="D71" s="48"/>
      <c r="E71" s="48"/>
    </row>
    <row r="72" spans="2:5" ht="15" customHeight="1" x14ac:dyDescent="0.25">
      <c r="B72" s="6" t="s">
        <v>114</v>
      </c>
      <c r="C72" s="25" t="s">
        <v>115</v>
      </c>
      <c r="D72" s="73">
        <f>' Ultimos Resultados IAM'!D73</f>
        <v>1.1399999999999999</v>
      </c>
      <c r="E72" s="73">
        <f>' Ultimos Resultados IAM'!E73</f>
        <v>1.24</v>
      </c>
    </row>
    <row r="73" spans="2:5" ht="15" customHeight="1" x14ac:dyDescent="0.25">
      <c r="B73" s="6" t="s">
        <v>116</v>
      </c>
      <c r="C73" s="25" t="s">
        <v>115</v>
      </c>
      <c r="D73" s="73">
        <f>' Ultimos Resultados IAM'!D74</f>
        <v>0.66</v>
      </c>
      <c r="E73" s="73">
        <f>' Ultimos Resultados IAM'!E74</f>
        <v>0.73</v>
      </c>
    </row>
    <row r="74" spans="2:5" ht="15" customHeight="1" x14ac:dyDescent="0.25">
      <c r="B74" s="6" t="s">
        <v>117</v>
      </c>
      <c r="C74" s="24"/>
      <c r="D74" s="74"/>
      <c r="E74" s="74"/>
    </row>
    <row r="75" spans="2:5" ht="15" customHeight="1" x14ac:dyDescent="0.25">
      <c r="B75" s="6" t="s">
        <v>118</v>
      </c>
      <c r="C75" s="25" t="s">
        <v>115</v>
      </c>
      <c r="D75" s="73">
        <f>' Ultimos Resultados IAM'!D76</f>
        <v>1.25</v>
      </c>
      <c r="E75" s="73">
        <f>' Ultimos Resultados IAM'!E76</f>
        <v>1.17</v>
      </c>
    </row>
    <row r="76" spans="2:5" ht="15" customHeight="1" x14ac:dyDescent="0.25">
      <c r="B76" s="6" t="s">
        <v>119</v>
      </c>
      <c r="C76" s="25" t="s">
        <v>115</v>
      </c>
      <c r="D76" s="73">
        <f>' Ultimos Resultados IAM'!D77</f>
        <v>0.18</v>
      </c>
      <c r="E76" s="73">
        <f>' Ultimos Resultados IAM'!E77</f>
        <v>0.19</v>
      </c>
    </row>
    <row r="77" spans="2:5" ht="15" customHeight="1" x14ac:dyDescent="0.25">
      <c r="B77" s="6" t="s">
        <v>120</v>
      </c>
      <c r="C77" s="25" t="s">
        <v>115</v>
      </c>
      <c r="D77" s="73">
        <f>' Ultimos Resultados IAM'!D78</f>
        <v>0.82</v>
      </c>
      <c r="E77" s="73">
        <f>' Ultimos Resultados IAM'!E78</f>
        <v>0.81</v>
      </c>
    </row>
    <row r="78" spans="2:5" ht="15" customHeight="1" x14ac:dyDescent="0.25">
      <c r="B78" s="6" t="s">
        <v>121</v>
      </c>
      <c r="C78" s="25" t="s">
        <v>115</v>
      </c>
      <c r="D78" s="73">
        <f>' Ultimos Resultados IAM'!D79</f>
        <v>5.27</v>
      </c>
      <c r="E78" s="73">
        <f>' Ultimos Resultados IAM'!E79</f>
        <v>5.05</v>
      </c>
    </row>
    <row r="79" spans="2:5" ht="15" customHeight="1" x14ac:dyDescent="0.25">
      <c r="B79" s="6" t="s">
        <v>122</v>
      </c>
      <c r="C79" s="24"/>
      <c r="D79" s="74"/>
      <c r="E79" s="74"/>
    </row>
    <row r="80" spans="2:5" ht="15" customHeight="1" x14ac:dyDescent="0.25">
      <c r="B80" s="26" t="s">
        <v>123</v>
      </c>
      <c r="C80" s="25" t="s">
        <v>15</v>
      </c>
      <c r="D80" s="73">
        <f>' Ultimos Resultados IAM'!D81</f>
        <v>7.06</v>
      </c>
      <c r="E80" s="73">
        <f>' Ultimos Resultados IAM'!E81</f>
        <v>7.48</v>
      </c>
    </row>
    <row r="81" spans="2:5" ht="15" customHeight="1" x14ac:dyDescent="0.25">
      <c r="B81" s="6" t="s">
        <v>124</v>
      </c>
      <c r="C81" s="25" t="s">
        <v>15</v>
      </c>
      <c r="D81" s="73">
        <f>' Ultimos Resultados IAM'!D82</f>
        <v>1.99</v>
      </c>
      <c r="E81" s="73">
        <f>' Ultimos Resultados IAM'!E82</f>
        <v>2.06</v>
      </c>
    </row>
    <row r="82" spans="2:5" ht="15" customHeight="1" x14ac:dyDescent="0.25">
      <c r="B82" s="6" t="s">
        <v>125</v>
      </c>
      <c r="C82" s="25" t="s">
        <v>66</v>
      </c>
      <c r="D82" s="73">
        <f>' Ultimos Resultados IAM'!D83</f>
        <v>48.99</v>
      </c>
      <c r="E82" s="73">
        <f>' Ultimos Resultados IAM'!E83</f>
        <v>48.23</v>
      </c>
    </row>
    <row r="83" spans="2:5" ht="15" customHeight="1" x14ac:dyDescent="0.25">
      <c r="B83" s="6" t="s">
        <v>126</v>
      </c>
      <c r="C83" s="25" t="s">
        <v>15</v>
      </c>
      <c r="D83" s="73">
        <f>' Ultimos Resultados IAM'!D84</f>
        <v>13.59</v>
      </c>
      <c r="E83" s="73">
        <f>' Ultimos Resultados IAM'!E84</f>
        <v>8.86</v>
      </c>
    </row>
    <row r="94" spans="2:5" ht="15" customHeight="1" x14ac:dyDescent="0.25">
      <c r="C94" s="91">
        <f>SUM(' Ultimos Resultados IAM'!C4:G14,' Ultimos Resultados IAM'!C21:J25,' Ultimos Resultados IAM'!C28:G31,' Ultimos Resultados IAM'!C34:G35,' Ultimos Resultados IAM'!C39:E43,' Ultimos Resultados IAM'!C48:E60,' Ultimos Resultados IAM'!C64:E68,' Ultimos Resultados IAM'!D73:E84)-SUM('Latest Results IAM'!C4:G14,'Latest Results IAM'!C21:J25,'Latest Results IAM'!C28:G31,'Latest Results IAM'!C34:G35,'Latest Results IAM'!C39:E43,'Latest Results IAM'!C48:E59,'Latest Results IAM'!C63:E67,'Latest Results IAM'!D72:E83)</f>
        <v>0</v>
      </c>
    </row>
  </sheetData>
  <mergeCells count="8">
    <mergeCell ref="E45:E46"/>
    <mergeCell ref="F18:G18"/>
    <mergeCell ref="I18:J18"/>
    <mergeCell ref="D19:D20"/>
    <mergeCell ref="G19:G20"/>
    <mergeCell ref="I19:I20"/>
    <mergeCell ref="C18:D18"/>
    <mergeCell ref="J19:J20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Home Page AA</vt:lpstr>
      <vt:lpstr>Home Page IAM</vt:lpstr>
      <vt:lpstr> Ultimos Resultados Aguas Andin</vt:lpstr>
      <vt:lpstr>Latest Results Aguas Andinas</vt:lpstr>
      <vt:lpstr>Estructura Deuda</vt:lpstr>
      <vt:lpstr>Debt Structure</vt:lpstr>
      <vt:lpstr> Ultimos Resultados IAM</vt:lpstr>
      <vt:lpstr>Latest Results IAM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Baier Arocha</dc:creator>
  <cp:lastModifiedBy>Denisse Labarca Abdala</cp:lastModifiedBy>
  <dcterms:created xsi:type="dcterms:W3CDTF">2017-11-29T18:42:09Z</dcterms:created>
  <dcterms:modified xsi:type="dcterms:W3CDTF">2022-02-25T20:16:09Z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riptosClassAi">
    <vt:lpwstr>0-Publico</vt:lpwstr>
  </property>
</Properties>
</file>