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guasandinascl.sharepoint.com/sites/InvestorRelationsAA-IAM/Documentos compartidos/General/02 Resultados/2025/1Q/Traducción/Solicitud de traducción 29-04-2025/AA/"/>
    </mc:Choice>
  </mc:AlternateContent>
  <xr:revisionPtr revIDLastSave="38" documentId="13_ncr:1_{A419CFFA-5E2C-4DF2-9235-5147ED3B65F3}" xr6:coauthVersionLast="47" xr6:coauthVersionMax="47" xr10:uidLastSave="{6476B189-B11F-4534-8370-4EC8E2798746}"/>
  <bookViews>
    <workbookView xWindow="28680" yWindow="-120" windowWidth="29040" windowHeight="15720" tabRatio="904" firstSheet="1" activeTab="1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Resultados Trimestrales" sheetId="30" state="hidden" r:id="rId4"/>
    <sheet name="Estado de situación financiera" sheetId="8" r:id="rId5"/>
    <sheet name="Deuda Financiera" sheetId="23" r:id="rId6"/>
    <sheet name="Flujo de efectivo" sheetId="17" r:id="rId7"/>
    <sheet name="Indicadores" sheetId="15" r:id="rId8"/>
    <sheet name="Cálculos" sheetId="4" state="hidden" r:id="rId9"/>
    <sheet name="Anualizados" sheetId="10" state="hidden" r:id="rId10"/>
    <sheet name="Resultado" sheetId="12" state="hidden" r:id="rId11"/>
    <sheet name="Balance" sheetId="11" state="hidden" r:id="rId12"/>
    <sheet name="Flujo" sheetId="13" state="hidden" r:id="rId13"/>
  </sheets>
  <externalReferences>
    <externalReference r:id="rId14"/>
    <externalReference r:id="rId15"/>
    <externalReference r:id="rId16"/>
  </externalReferences>
  <definedNames>
    <definedName name="_xlnm._FilterDatabase" localSheetId="12" hidden="1">Flujo!$B$2:$E$70</definedName>
    <definedName name="_Hlk47472038" localSheetId="2">'Resultados por Segmento'!$B$10</definedName>
    <definedName name="_xlnm.Print_Area" localSheetId="8">Cálculos!$H$4:$L$50</definedName>
    <definedName name="_xlnm.Print_Area" localSheetId="4">'Estado de situación financiera'!#REF!</definedName>
    <definedName name="_xlnm.Print_Area" localSheetId="6">'Flujo de efectivo'!#REF!</definedName>
    <definedName name="_xlnm.Print_Area" localSheetId="7">Indicadores!#REF!</definedName>
    <definedName name="_xlnm.Print_Area" localSheetId="1">Resultados!#REF!</definedName>
    <definedName name="Base">#REF!</definedName>
    <definedName name="empresa">#REF!</definedName>
    <definedName name="ke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3" l="1"/>
  <c r="E4" i="13"/>
  <c r="D5" i="13"/>
  <c r="E5" i="13"/>
  <c r="D6" i="13"/>
  <c r="E6" i="13"/>
  <c r="D7" i="13"/>
  <c r="E7" i="13"/>
  <c r="D8" i="13"/>
  <c r="E8" i="13"/>
  <c r="D9" i="13"/>
  <c r="E9" i="13"/>
  <c r="D10" i="13"/>
  <c r="E10" i="13"/>
  <c r="D11" i="13"/>
  <c r="E11" i="13"/>
  <c r="D12" i="13"/>
  <c r="E12" i="13"/>
  <c r="D13" i="13"/>
  <c r="E13" i="13"/>
  <c r="D14" i="13"/>
  <c r="E14" i="13"/>
  <c r="D15" i="13"/>
  <c r="D22" i="13" s="1"/>
  <c r="E15" i="13"/>
  <c r="E22" i="13" s="1"/>
  <c r="D16" i="13"/>
  <c r="E16" i="13"/>
  <c r="D17" i="13"/>
  <c r="E17" i="13"/>
  <c r="D18" i="13"/>
  <c r="E18" i="13"/>
  <c r="D19" i="13"/>
  <c r="E19" i="13"/>
  <c r="D20" i="13"/>
  <c r="E20" i="13"/>
  <c r="D21" i="13"/>
  <c r="E21" i="13"/>
  <c r="D23" i="13"/>
  <c r="E23" i="13"/>
  <c r="D24" i="13"/>
  <c r="E24" i="13"/>
  <c r="D25" i="13"/>
  <c r="E25" i="13"/>
  <c r="D26" i="13"/>
  <c r="E26" i="13"/>
  <c r="D27" i="13"/>
  <c r="E27" i="13"/>
  <c r="E47" i="13" s="1"/>
  <c r="D28" i="13"/>
  <c r="E28" i="13"/>
  <c r="D29" i="13"/>
  <c r="E29" i="13"/>
  <c r="D30" i="13"/>
  <c r="E30" i="13"/>
  <c r="D31" i="13"/>
  <c r="D47" i="13" s="1"/>
  <c r="E31" i="13"/>
  <c r="D32" i="13"/>
  <c r="E32" i="13"/>
  <c r="D33" i="13"/>
  <c r="E33" i="13"/>
  <c r="D34" i="13"/>
  <c r="E34" i="13"/>
  <c r="D35" i="13"/>
  <c r="E35" i="13"/>
  <c r="D36" i="13"/>
  <c r="E36" i="13"/>
  <c r="D37" i="13"/>
  <c r="E37" i="13"/>
  <c r="D38" i="13"/>
  <c r="E38" i="13"/>
  <c r="D39" i="13"/>
  <c r="E39" i="13"/>
  <c r="D40" i="13"/>
  <c r="E40" i="13"/>
  <c r="D41" i="13"/>
  <c r="E41" i="13"/>
  <c r="D42" i="13"/>
  <c r="E42" i="13"/>
  <c r="D43" i="13"/>
  <c r="E43" i="13"/>
  <c r="D44" i="13"/>
  <c r="E44" i="13"/>
  <c r="D45" i="13"/>
  <c r="E45" i="13"/>
  <c r="D46" i="13"/>
  <c r="E46" i="13"/>
  <c r="D48" i="13"/>
  <c r="E48" i="13"/>
  <c r="D49" i="13"/>
  <c r="E49" i="13"/>
  <c r="D50" i="13"/>
  <c r="E50" i="13"/>
  <c r="D51" i="13"/>
  <c r="D54" i="13" s="1"/>
  <c r="D64" i="13" s="1"/>
  <c r="E51" i="13"/>
  <c r="E54" i="13" s="1"/>
  <c r="E64" i="13" s="1"/>
  <c r="D52" i="13"/>
  <c r="E52" i="13"/>
  <c r="D53" i="13"/>
  <c r="E53" i="13"/>
  <c r="D55" i="13"/>
  <c r="E55" i="13"/>
  <c r="D56" i="13"/>
  <c r="E56" i="13"/>
  <c r="D57" i="13"/>
  <c r="E57" i="13"/>
  <c r="D58" i="13"/>
  <c r="E58" i="13"/>
  <c r="D59" i="13"/>
  <c r="E59" i="13"/>
  <c r="D60" i="13"/>
  <c r="E60" i="13"/>
  <c r="D61" i="13"/>
  <c r="E61" i="13"/>
  <c r="D62" i="13"/>
  <c r="E62" i="13"/>
  <c r="D63" i="13"/>
  <c r="E63" i="13"/>
  <c r="D67" i="13"/>
  <c r="E67" i="13"/>
  <c r="D68" i="13"/>
  <c r="E68" i="13"/>
  <c r="D69" i="13"/>
  <c r="E69" i="13"/>
  <c r="D70" i="13"/>
  <c r="E70" i="13"/>
  <c r="D27" i="12"/>
  <c r="E27" i="12"/>
  <c r="D20" i="12"/>
  <c r="D21" i="12" s="1"/>
  <c r="E20" i="12"/>
  <c r="E21" i="12" s="1"/>
  <c r="D19" i="12"/>
  <c r="E19" i="12"/>
  <c r="D15" i="12"/>
  <c r="E15" i="12"/>
  <c r="D16" i="12"/>
  <c r="E16" i="12"/>
  <c r="D17" i="12"/>
  <c r="E17" i="12"/>
  <c r="D13" i="12"/>
  <c r="E13" i="12"/>
  <c r="D14" i="12"/>
  <c r="E14" i="12"/>
  <c r="D10" i="12"/>
  <c r="E10" i="12"/>
  <c r="D11" i="12"/>
  <c r="E11" i="12"/>
  <c r="D9" i="12"/>
  <c r="E9" i="12"/>
  <c r="D5" i="12"/>
  <c r="E5" i="12"/>
  <c r="D6" i="12"/>
  <c r="E6" i="12"/>
  <c r="D7" i="12"/>
  <c r="E7" i="12"/>
  <c r="D8" i="12"/>
  <c r="E8" i="12"/>
  <c r="D34" i="11"/>
  <c r="E34" i="11"/>
  <c r="D35" i="11"/>
  <c r="E35" i="11"/>
  <c r="D36" i="11"/>
  <c r="E36" i="11"/>
  <c r="D37" i="11"/>
  <c r="E37" i="11"/>
  <c r="D38" i="11"/>
  <c r="E38" i="11"/>
  <c r="D39" i="11"/>
  <c r="E39" i="11"/>
  <c r="D40" i="11"/>
  <c r="E40" i="11"/>
  <c r="D41" i="11"/>
  <c r="E41" i="11"/>
  <c r="D42" i="11"/>
  <c r="E42" i="11"/>
  <c r="D43" i="11"/>
  <c r="E43" i="11"/>
  <c r="D44" i="11"/>
  <c r="E44" i="11"/>
  <c r="D45" i="11"/>
  <c r="E45" i="11"/>
  <c r="D46" i="11"/>
  <c r="E46" i="11"/>
  <c r="D47" i="11"/>
  <c r="E47" i="11"/>
  <c r="D48" i="11"/>
  <c r="E48" i="11"/>
  <c r="D49" i="11"/>
  <c r="E49" i="11"/>
  <c r="D50" i="11"/>
  <c r="E50" i="11"/>
  <c r="D51" i="11"/>
  <c r="E51" i="11"/>
  <c r="D52" i="11"/>
  <c r="E52" i="11"/>
  <c r="D53" i="11"/>
  <c r="E53" i="11"/>
  <c r="D54" i="11"/>
  <c r="E54" i="11"/>
  <c r="D55" i="11"/>
  <c r="E55" i="11"/>
  <c r="D56" i="11"/>
  <c r="E56" i="11"/>
  <c r="D57" i="11"/>
  <c r="E57" i="11"/>
  <c r="D58" i="11"/>
  <c r="E58" i="11"/>
  <c r="D59" i="11"/>
  <c r="E59" i="11"/>
  <c r="D60" i="11"/>
  <c r="E60" i="11"/>
  <c r="D61" i="11"/>
  <c r="E61" i="11"/>
  <c r="D62" i="11"/>
  <c r="E62" i="11"/>
  <c r="D63" i="11"/>
  <c r="E63" i="11"/>
  <c r="D64" i="11"/>
  <c r="E64" i="11"/>
  <c r="D65" i="11"/>
  <c r="E65" i="11"/>
  <c r="D66" i="11"/>
  <c r="E66" i="11"/>
  <c r="D67" i="11"/>
  <c r="E67" i="11"/>
  <c r="D28" i="11"/>
  <c r="E28" i="11"/>
  <c r="D26" i="11"/>
  <c r="E26" i="11"/>
  <c r="D22" i="11"/>
  <c r="E22" i="11"/>
  <c r="D23" i="11"/>
  <c r="E23" i="11"/>
  <c r="D24" i="11"/>
  <c r="E24" i="11"/>
  <c r="D25" i="11"/>
  <c r="E25" i="11"/>
  <c r="D17" i="11"/>
  <c r="E17" i="11"/>
  <c r="D18" i="11"/>
  <c r="E18" i="11"/>
  <c r="D19" i="11"/>
  <c r="E19" i="11"/>
  <c r="D20" i="11"/>
  <c r="E20" i="11"/>
  <c r="D21" i="11"/>
  <c r="E21" i="11"/>
  <c r="D13" i="11"/>
  <c r="E13" i="11"/>
  <c r="D14" i="11"/>
  <c r="E14" i="11"/>
  <c r="D15" i="11"/>
  <c r="E15" i="11"/>
  <c r="D6" i="11"/>
  <c r="E6" i="11"/>
  <c r="D7" i="11"/>
  <c r="E7" i="11"/>
  <c r="D8" i="11"/>
  <c r="E8" i="11"/>
  <c r="D9" i="11"/>
  <c r="E9" i="11"/>
  <c r="D10" i="11"/>
  <c r="E10" i="11"/>
  <c r="D11" i="11"/>
  <c r="E11" i="11"/>
  <c r="D12" i="11"/>
  <c r="E12" i="11"/>
  <c r="D65" i="13" l="1"/>
  <c r="E65" i="13"/>
  <c r="E2" i="13" l="1"/>
  <c r="D2" i="13"/>
  <c r="D3" i="11"/>
  <c r="G27" i="12"/>
  <c r="F27" i="12"/>
  <c r="F20" i="12"/>
  <c r="F17" i="12"/>
  <c r="F16" i="12"/>
  <c r="F14" i="12"/>
  <c r="F13" i="12"/>
  <c r="F11" i="12"/>
  <c r="F10" i="12"/>
  <c r="F9" i="12"/>
  <c r="F8" i="12"/>
  <c r="F7" i="12"/>
  <c r="F6" i="12"/>
  <c r="F5" i="12"/>
  <c r="F28" i="4" l="1"/>
  <c r="F29" i="4"/>
  <c r="F30" i="4"/>
  <c r="F18" i="4"/>
  <c r="F19" i="4"/>
  <c r="F20" i="4"/>
  <c r="F21" i="4"/>
  <c r="C17" i="10" s="1"/>
  <c r="F22" i="4"/>
  <c r="F23" i="4"/>
  <c r="F24" i="4"/>
  <c r="F25" i="4"/>
  <c r="E27" i="4"/>
  <c r="E68" i="4"/>
  <c r="L30" i="4" s="1"/>
  <c r="E67" i="4"/>
  <c r="E66" i="4"/>
  <c r="E63" i="4"/>
  <c r="E61" i="4"/>
  <c r="E60" i="4"/>
  <c r="E59" i="4"/>
  <c r="L24" i="4" s="1"/>
  <c r="E58" i="4"/>
  <c r="E56" i="4"/>
  <c r="E55" i="4"/>
  <c r="E54" i="4"/>
  <c r="C10" i="10" l="1"/>
  <c r="F31" i="4"/>
  <c r="E53" i="4"/>
  <c r="E52" i="4"/>
  <c r="E51" i="4"/>
  <c r="E50" i="4"/>
  <c r="F13" i="4" l="1"/>
  <c r="F12" i="4"/>
  <c r="F11" i="4"/>
  <c r="F10" i="4"/>
  <c r="F7" i="4"/>
  <c r="F6" i="4"/>
  <c r="D54" i="4" l="1"/>
  <c r="L50" i="4"/>
  <c r="J50" i="4"/>
  <c r="C54" i="4" l="1"/>
  <c r="E28" i="4" l="1"/>
  <c r="E72" i="13" l="1"/>
  <c r="D46" i="4" l="1"/>
  <c r="D13" i="30" l="1"/>
  <c r="C13" i="30"/>
  <c r="C12" i="30"/>
  <c r="C11" i="30"/>
  <c r="C9" i="30"/>
  <c r="C7" i="30"/>
  <c r="C4" i="30"/>
  <c r="G62" i="11" l="1"/>
  <c r="C5" i="30"/>
  <c r="C6" i="30" s="1"/>
  <c r="C8" i="30" s="1"/>
  <c r="C14" i="30" s="1"/>
  <c r="F12" i="12"/>
  <c r="F19" i="12" s="1"/>
  <c r="F21" i="12" s="1"/>
  <c r="F24" i="12" s="1"/>
  <c r="F26" i="12" s="1"/>
  <c r="C15" i="30" l="1"/>
  <c r="F30" i="12"/>
  <c r="F31" i="12" s="1"/>
  <c r="F28" i="12"/>
  <c r="L49" i="4" l="1"/>
  <c r="C46" i="4"/>
  <c r="J49" i="4" s="1"/>
  <c r="F27" i="4" l="1"/>
  <c r="G14" i="11" l="1"/>
  <c r="C49" i="4" l="1"/>
  <c r="D27" i="4"/>
  <c r="D16" i="4"/>
  <c r="G13" i="30" l="1"/>
  <c r="E13" i="30" s="1"/>
  <c r="G10" i="30" l="1"/>
  <c r="J69" i="13" l="1"/>
  <c r="K68" i="13" l="1"/>
  <c r="J53" i="13" l="1"/>
  <c r="G13" i="13"/>
  <c r="L10" i="4"/>
  <c r="C66" i="4" l="1"/>
  <c r="C63" i="4"/>
  <c r="E32" i="4" l="1"/>
  <c r="F32" i="4" s="1"/>
  <c r="D12" i="12" l="1"/>
  <c r="L22" i="12" l="1"/>
  <c r="M22" i="12" s="1"/>
  <c r="C67" i="4"/>
  <c r="D67" i="4"/>
  <c r="I22" i="12"/>
  <c r="J22" i="12" s="1"/>
  <c r="I47" i="13"/>
  <c r="E12" i="12" l="1"/>
  <c r="E62" i="4" l="1"/>
  <c r="H17" i="13" l="1"/>
  <c r="H16" i="13"/>
  <c r="I10" i="12" l="1"/>
  <c r="J10" i="12" s="1"/>
  <c r="I11" i="12"/>
  <c r="J11" i="12" s="1"/>
  <c r="I14" i="12"/>
  <c r="J14" i="12" s="1"/>
  <c r="I16" i="12"/>
  <c r="J16" i="12" s="1"/>
  <c r="I17" i="12"/>
  <c r="J17" i="12" s="1"/>
  <c r="E31" i="11"/>
  <c r="D31" i="11"/>
  <c r="I13" i="12" l="1"/>
  <c r="J13" i="12" s="1"/>
  <c r="G5" i="13" l="1"/>
  <c r="G6" i="13" l="1"/>
  <c r="D24" i="12" l="1"/>
  <c r="D26" i="12" s="1"/>
  <c r="D30" i="12" l="1"/>
  <c r="D31" i="12" s="1"/>
  <c r="E24" i="12"/>
  <c r="E26" i="12" s="1"/>
  <c r="E30" i="12" s="1"/>
  <c r="E31" i="12" s="1"/>
  <c r="E28" i="12" l="1"/>
  <c r="D28" i="12"/>
  <c r="I9" i="12" l="1"/>
  <c r="L9" i="12" l="1"/>
  <c r="M9" i="12" s="1"/>
  <c r="J9" i="12"/>
  <c r="D68" i="4"/>
  <c r="C68" i="4"/>
  <c r="D66" i="4"/>
  <c r="E24" i="4" s="1"/>
  <c r="D24" i="4"/>
  <c r="J27" i="4" s="1"/>
  <c r="P50" i="4"/>
  <c r="D63" i="4"/>
  <c r="D61" i="4"/>
  <c r="C61" i="4"/>
  <c r="D60" i="4"/>
  <c r="C60" i="4"/>
  <c r="D59" i="4"/>
  <c r="C59" i="4"/>
  <c r="D21" i="4" s="1"/>
  <c r="C19" i="10" s="1"/>
  <c r="D58" i="4"/>
  <c r="C58" i="4"/>
  <c r="D56" i="4"/>
  <c r="C56" i="4"/>
  <c r="D55" i="4"/>
  <c r="C55" i="4"/>
  <c r="D53" i="4"/>
  <c r="E25" i="4" s="1"/>
  <c r="C53" i="4"/>
  <c r="D25" i="4" s="1"/>
  <c r="J29" i="4" s="1"/>
  <c r="D52" i="4"/>
  <c r="C52" i="4"/>
  <c r="D51" i="4"/>
  <c r="C51" i="4"/>
  <c r="D50" i="4"/>
  <c r="C50" i="4"/>
  <c r="P46" i="4"/>
  <c r="M49" i="4"/>
  <c r="D29" i="4"/>
  <c r="D28" i="4"/>
  <c r="E29" i="4"/>
  <c r="F14" i="4"/>
  <c r="F8" i="4"/>
  <c r="L4" i="4"/>
  <c r="J4" i="4"/>
  <c r="E21" i="4" l="1"/>
  <c r="C18" i="10" s="1"/>
  <c r="J28" i="4"/>
  <c r="J30" i="4"/>
  <c r="C62" i="4"/>
  <c r="D18" i="4"/>
  <c r="J35" i="4" s="1"/>
  <c r="C57" i="4"/>
  <c r="E18" i="4"/>
  <c r="F15" i="4"/>
  <c r="D62" i="4"/>
  <c r="D57" i="4"/>
  <c r="K49" i="4"/>
  <c r="O49" i="4" s="1"/>
  <c r="P49" i="4"/>
  <c r="D19" i="4"/>
  <c r="E19" i="4"/>
  <c r="L35" i="4" l="1"/>
  <c r="P35" i="4" s="1"/>
  <c r="E57" i="4"/>
  <c r="E65" i="4" s="1"/>
  <c r="C65" i="4"/>
  <c r="D65" i="4"/>
  <c r="E69" i="4" l="1"/>
  <c r="E70" i="4" s="1"/>
  <c r="E20" i="4"/>
  <c r="C11" i="10" s="1"/>
  <c r="D69" i="4"/>
  <c r="D70" i="4" s="1"/>
  <c r="C4" i="10" s="1"/>
  <c r="D20" i="4"/>
  <c r="C12" i="10" s="1"/>
  <c r="C69" i="4"/>
  <c r="C70" i="4" s="1"/>
  <c r="C5" i="10" s="1"/>
  <c r="L39" i="4" l="1"/>
  <c r="L42" i="4" s="1"/>
  <c r="C3" i="10"/>
  <c r="E23" i="4"/>
  <c r="D23" i="4"/>
  <c r="J26" i="4" s="1"/>
  <c r="J32" i="4" s="1"/>
  <c r="D22" i="4" s="1"/>
  <c r="G67" i="13"/>
  <c r="H67" i="13" s="1"/>
  <c r="G66" i="13"/>
  <c r="H66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9" i="13"/>
  <c r="H49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3" i="13"/>
  <c r="H23" i="13" s="1"/>
  <c r="G21" i="13"/>
  <c r="H21" i="13" s="1"/>
  <c r="G20" i="13"/>
  <c r="H20" i="13" s="1"/>
  <c r="G19" i="13"/>
  <c r="H19" i="13" s="1"/>
  <c r="G18" i="13"/>
  <c r="H18" i="13" s="1"/>
  <c r="H13" i="13"/>
  <c r="G12" i="13"/>
  <c r="H12" i="13" s="1"/>
  <c r="G11" i="13"/>
  <c r="H11" i="13" s="1"/>
  <c r="G9" i="13"/>
  <c r="H9" i="13" s="1"/>
  <c r="G8" i="13"/>
  <c r="H8" i="13" s="1"/>
  <c r="G7" i="13"/>
  <c r="H7" i="13" s="1"/>
  <c r="G4" i="13"/>
  <c r="H4" i="13" s="1"/>
  <c r="I27" i="12"/>
  <c r="J27" i="12" s="1"/>
  <c r="I20" i="12"/>
  <c r="J20" i="12" s="1"/>
  <c r="I8" i="12"/>
  <c r="J8" i="12" s="1"/>
  <c r="I7" i="12"/>
  <c r="J7" i="12" s="1"/>
  <c r="I6" i="12"/>
  <c r="J6" i="12" s="1"/>
  <c r="I5" i="12"/>
  <c r="L45" i="4" l="1"/>
  <c r="M45" i="4" s="1"/>
  <c r="J5" i="12"/>
  <c r="L8" i="12"/>
  <c r="M8" i="12" s="1"/>
  <c r="L27" i="12"/>
  <c r="M27" i="12" s="1"/>
  <c r="L6" i="12"/>
  <c r="M6" i="12" s="1"/>
  <c r="L20" i="12"/>
  <c r="M20" i="12" s="1"/>
  <c r="L14" i="12"/>
  <c r="M14" i="12" s="1"/>
  <c r="L16" i="12"/>
  <c r="M16" i="12" s="1"/>
  <c r="L11" i="12"/>
  <c r="M11" i="12" s="1"/>
  <c r="L13" i="12"/>
  <c r="M13" i="12" s="1"/>
  <c r="L5" i="12"/>
  <c r="M5" i="12" s="1"/>
  <c r="L10" i="12"/>
  <c r="M10" i="12" s="1"/>
  <c r="L21" i="12" l="1"/>
  <c r="M21" i="12" s="1"/>
  <c r="L7" i="12"/>
  <c r="M7" i="12" s="1"/>
  <c r="L17" i="12"/>
  <c r="M17" i="12" s="1"/>
  <c r="L28" i="12" l="1"/>
  <c r="M28" i="12" s="1"/>
  <c r="L24" i="12"/>
  <c r="M24" i="12" s="1"/>
  <c r="I19" i="12" l="1"/>
  <c r="L19" i="12" l="1"/>
  <c r="M19" i="12" s="1"/>
  <c r="J19" i="12"/>
  <c r="I21" i="12"/>
  <c r="J21" i="12" s="1"/>
  <c r="I24" i="12" l="1"/>
  <c r="J24" i="12" s="1"/>
  <c r="I26" i="12" l="1"/>
  <c r="J26" i="12" s="1"/>
  <c r="I28" i="12"/>
  <c r="J28" i="12" s="1"/>
  <c r="L26" i="12" l="1"/>
  <c r="M26" i="12" s="1"/>
  <c r="B13" i="10"/>
  <c r="B20" i="10" s="1"/>
  <c r="C20" i="10" l="1"/>
  <c r="J24" i="4" s="1"/>
  <c r="Q24" i="4" l="1"/>
  <c r="P24" i="4"/>
  <c r="C13" i="10"/>
  <c r="J23" i="4" s="1"/>
  <c r="K23" i="4" l="1"/>
  <c r="C6" i="10"/>
  <c r="J39" i="4" s="1"/>
  <c r="P39" i="4" l="1"/>
  <c r="Q39" i="4"/>
  <c r="J42" i="4"/>
  <c r="Q42" i="4" l="1"/>
  <c r="J45" i="4"/>
  <c r="K45" i="4" s="1"/>
  <c r="O45" i="4" s="1"/>
  <c r="P42" i="4"/>
  <c r="P45" i="4" l="1"/>
  <c r="D12" i="4" l="1"/>
  <c r="D7" i="4" l="1"/>
  <c r="D11" i="4" l="1"/>
  <c r="J20" i="4" s="1"/>
  <c r="D13" i="4"/>
  <c r="J40" i="4" s="1"/>
  <c r="D6" i="4"/>
  <c r="J15" i="4" l="1"/>
  <c r="J7" i="4"/>
  <c r="D8" i="4"/>
  <c r="D10" i="4"/>
  <c r="J14" i="4" l="1"/>
  <c r="J18" i="4"/>
  <c r="J21" i="4" s="1"/>
  <c r="J17" i="4"/>
  <c r="J11" i="4"/>
  <c r="J8" i="4"/>
  <c r="K7" i="4" s="1"/>
  <c r="D69" i="11"/>
  <c r="D14" i="4"/>
  <c r="D15" i="4" s="1"/>
  <c r="K14" i="4" l="1"/>
  <c r="K17" i="4"/>
  <c r="K20" i="4" l="1"/>
  <c r="G53" i="11" l="1"/>
  <c r="H53" i="11" s="1"/>
  <c r="G51" i="11"/>
  <c r="H51" i="11" s="1"/>
  <c r="G50" i="11"/>
  <c r="H50" i="11" s="1"/>
  <c r="G41" i="11"/>
  <c r="H41" i="11" s="1"/>
  <c r="G39" i="11"/>
  <c r="H39" i="11" s="1"/>
  <c r="G38" i="11"/>
  <c r="H38" i="11" s="1"/>
  <c r="G37" i="11"/>
  <c r="H37" i="11" s="1"/>
  <c r="G25" i="11"/>
  <c r="H25" i="11" s="1"/>
  <c r="G24" i="11"/>
  <c r="H24" i="11" s="1"/>
  <c r="G23" i="11"/>
  <c r="H23" i="11" s="1"/>
  <c r="G22" i="11"/>
  <c r="H22" i="11" s="1"/>
  <c r="G21" i="11"/>
  <c r="H21" i="11" s="1"/>
  <c r="G19" i="11"/>
  <c r="H19" i="11" s="1"/>
  <c r="G12" i="11"/>
  <c r="H12" i="11" s="1"/>
  <c r="G11" i="11"/>
  <c r="H11" i="11" s="1"/>
  <c r="G9" i="11"/>
  <c r="H9" i="11" s="1"/>
  <c r="G7" i="11"/>
  <c r="H7" i="11" s="1"/>
  <c r="G8" i="11" l="1"/>
  <c r="H8" i="11" s="1"/>
  <c r="G10" i="11"/>
  <c r="H10" i="11" s="1"/>
  <c r="G48" i="11"/>
  <c r="H48" i="11" s="1"/>
  <c r="G52" i="11"/>
  <c r="H52" i="11" s="1"/>
  <c r="G60" i="11"/>
  <c r="H60" i="11" s="1"/>
  <c r="H14" i="11"/>
  <c r="G6" i="11"/>
  <c r="H6" i="11" s="1"/>
  <c r="G17" i="11"/>
  <c r="H17" i="11" s="1"/>
  <c r="G18" i="11"/>
  <c r="H18" i="11" s="1"/>
  <c r="G34" i="11"/>
  <c r="H34" i="11" s="1"/>
  <c r="G43" i="11"/>
  <c r="H43" i="11" s="1"/>
  <c r="G49" i="11"/>
  <c r="H49" i="11" s="1"/>
  <c r="G61" i="11"/>
  <c r="H61" i="11" s="1"/>
  <c r="G35" i="11"/>
  <c r="H35" i="11" s="1"/>
  <c r="G46" i="11"/>
  <c r="H46" i="11" s="1"/>
  <c r="G36" i="11"/>
  <c r="H36" i="11" s="1"/>
  <c r="G40" i="11"/>
  <c r="H40" i="11" s="1"/>
  <c r="G47" i="11"/>
  <c r="H47" i="11" s="1"/>
  <c r="G59" i="11"/>
  <c r="H59" i="11" s="1"/>
  <c r="E7" i="4" l="1"/>
  <c r="E12" i="4"/>
  <c r="G64" i="11"/>
  <c r="H64" i="11" s="1"/>
  <c r="G63" i="11"/>
  <c r="G58" i="11"/>
  <c r="H58" i="11" s="1"/>
  <c r="G13" i="11"/>
  <c r="H13" i="11" s="1"/>
  <c r="G15" i="11" l="1"/>
  <c r="H15" i="11" s="1"/>
  <c r="E11" i="4"/>
  <c r="L20" i="4" s="1"/>
  <c r="P20" i="4" s="1"/>
  <c r="G42" i="11"/>
  <c r="H42" i="11" s="1"/>
  <c r="G54" i="11"/>
  <c r="H54" i="11" s="1"/>
  <c r="G26" i="11"/>
  <c r="H26" i="11" s="1"/>
  <c r="G28" i="11"/>
  <c r="H28" i="11" s="1"/>
  <c r="E6" i="4"/>
  <c r="G65" i="11"/>
  <c r="H65" i="11" s="1"/>
  <c r="E13" i="4"/>
  <c r="H63" i="11"/>
  <c r="E10" i="4"/>
  <c r="G44" i="11"/>
  <c r="H44" i="11" s="1"/>
  <c r="Q20" i="4" l="1"/>
  <c r="L7" i="4"/>
  <c r="Q7" i="4" s="1"/>
  <c r="E8" i="4"/>
  <c r="L11" i="4"/>
  <c r="L18" i="4"/>
  <c r="E14" i="4"/>
  <c r="L14" i="4"/>
  <c r="L8" i="4"/>
  <c r="L17" i="4"/>
  <c r="L40" i="4"/>
  <c r="M39" i="4" s="1"/>
  <c r="L15" i="4"/>
  <c r="G56" i="11"/>
  <c r="H56" i="11" s="1"/>
  <c r="L43" i="4" l="1"/>
  <c r="M42" i="4" s="1"/>
  <c r="P15" i="4"/>
  <c r="Q15" i="4"/>
  <c r="M7" i="4"/>
  <c r="O7" i="4" s="1"/>
  <c r="P8" i="4"/>
  <c r="Q8" i="4"/>
  <c r="M10" i="4"/>
  <c r="P11" i="4"/>
  <c r="Q11" i="4"/>
  <c r="P40" i="4"/>
  <c r="Q40" i="4"/>
  <c r="K39" i="4"/>
  <c r="M14" i="4"/>
  <c r="Q14" i="4"/>
  <c r="P14" i="4"/>
  <c r="J43" i="4"/>
  <c r="E15" i="4"/>
  <c r="P7" i="4"/>
  <c r="E69" i="11"/>
  <c r="G67" i="11"/>
  <c r="H67" i="11" s="1"/>
  <c r="M17" i="4"/>
  <c r="Q17" i="4"/>
  <c r="P17" i="4"/>
  <c r="L21" i="4"/>
  <c r="Q18" i="4"/>
  <c r="P18" i="4"/>
  <c r="O17" i="4" l="1"/>
  <c r="M20" i="4"/>
  <c r="P21" i="4"/>
  <c r="Q21" i="4"/>
  <c r="O14" i="4"/>
  <c r="P43" i="4"/>
  <c r="Q43" i="4"/>
  <c r="K42" i="4"/>
  <c r="O39" i="4"/>
  <c r="O20" i="4" l="1"/>
  <c r="O42" i="4"/>
  <c r="D30" i="4" l="1"/>
  <c r="D31" i="4" l="1"/>
  <c r="G62" i="13" l="1"/>
  <c r="H62" i="13" s="1"/>
  <c r="G63" i="13"/>
  <c r="H63" i="13" s="1"/>
  <c r="E30" i="4" l="1"/>
  <c r="G64" i="13"/>
  <c r="H64" i="13" s="1"/>
  <c r="D32" i="4" l="1"/>
  <c r="D33" i="4" s="1"/>
  <c r="J10" i="4" s="1"/>
  <c r="G69" i="13"/>
  <c r="H69" i="13" s="1"/>
  <c r="D34" i="4" l="1"/>
  <c r="Q10" i="4" l="1"/>
  <c r="P10" i="4"/>
  <c r="K10" i="4"/>
  <c r="O10" i="4" l="1"/>
  <c r="G14" i="13" l="1"/>
  <c r="H14" i="13" s="1"/>
  <c r="G10" i="13" l="1"/>
  <c r="H10" i="13" s="1"/>
  <c r="G15" i="13" l="1"/>
  <c r="H15" i="13" s="1"/>
  <c r="G22" i="13" l="1"/>
  <c r="H22" i="13" s="1"/>
  <c r="G65" i="13"/>
  <c r="H65" i="13" s="1"/>
  <c r="E31" i="4" l="1"/>
  <c r="E33" i="4" l="1"/>
  <c r="F33" i="4"/>
  <c r="F34" i="4" s="1"/>
  <c r="G68" i="13" l="1"/>
  <c r="H68" i="13" s="1"/>
  <c r="D72" i="13"/>
  <c r="G70" i="13"/>
  <c r="H70" i="13" s="1"/>
  <c r="L26" i="4" l="1"/>
  <c r="L27" i="4"/>
  <c r="L28" i="4"/>
  <c r="L29" i="4"/>
  <c r="L23" i="4"/>
  <c r="P23" i="4" s="1"/>
  <c r="L32" i="4" l="1"/>
  <c r="E22" i="4" s="1"/>
  <c r="Q23" i="4"/>
  <c r="M23" i="4"/>
  <c r="M32" i="4" l="1"/>
  <c r="O23" i="4"/>
  <c r="G17" i="12" l="1"/>
  <c r="G16" i="12"/>
  <c r="G13" i="12"/>
  <c r="G11" i="12"/>
  <c r="D9" i="30" s="1"/>
  <c r="G9" i="30" s="1"/>
  <c r="E9" i="30" s="1"/>
  <c r="G10" i="12"/>
  <c r="G7" i="12"/>
  <c r="G14" i="12"/>
  <c r="G8" i="12"/>
  <c r="D7" i="30" s="1"/>
  <c r="G7" i="30" s="1"/>
  <c r="E7" i="30" s="1"/>
  <c r="G6" i="12"/>
  <c r="G5" i="12"/>
  <c r="D4" i="30" l="1"/>
  <c r="G4" i="30" s="1"/>
  <c r="E4" i="30" s="1"/>
  <c r="D11" i="30"/>
  <c r="G11" i="30" s="1"/>
  <c r="E11" i="30" s="1"/>
  <c r="G9" i="12"/>
  <c r="D5" i="30" s="1"/>
  <c r="G20" i="12"/>
  <c r="D12" i="30" s="1"/>
  <c r="G12" i="30" s="1"/>
  <c r="E12" i="30" s="1"/>
  <c r="D6" i="30" l="1"/>
  <c r="G5" i="30"/>
  <c r="E5" i="30" s="1"/>
  <c r="G12" i="12"/>
  <c r="G19" i="12" s="1"/>
  <c r="G21" i="12" s="1"/>
  <c r="G24" i="12" s="1"/>
  <c r="G26" i="12" s="1"/>
  <c r="G30" i="12" l="1"/>
  <c r="G31" i="12" s="1"/>
  <c r="G28" i="12"/>
  <c r="D8" i="30"/>
  <c r="G6" i="30"/>
  <c r="E6" i="30" s="1"/>
  <c r="D14" i="30" l="1"/>
  <c r="G8" i="30"/>
  <c r="E8" i="30" s="1"/>
  <c r="D15" i="30" l="1"/>
  <c r="G14" i="30"/>
  <c r="E14" i="30" s="1"/>
</calcChain>
</file>

<file path=xl/sharedStrings.xml><?xml version="1.0" encoding="utf-8"?>
<sst xmlns="http://schemas.openxmlformats.org/spreadsheetml/2006/main" count="605" uniqueCount="398">
  <si>
    <t>Pasivos corrientes</t>
  </si>
  <si>
    <t>Pasivos no corrientes</t>
  </si>
  <si>
    <t>Activos corrientes</t>
  </si>
  <si>
    <t>Activos no corrientes</t>
  </si>
  <si>
    <t xml:space="preserve"> </t>
  </si>
  <si>
    <t>INDICADORES FINANCIEROS</t>
  </si>
  <si>
    <t>BALANCE</t>
  </si>
  <si>
    <t>LIQUIDEZ</t>
  </si>
  <si>
    <t>M$</t>
  </si>
  <si>
    <t>LIQUIDEZ CORRIENTE</t>
  </si>
  <si>
    <t>=</t>
  </si>
  <si>
    <t>TOTAL</t>
  </si>
  <si>
    <t>RAZON ACIDA</t>
  </si>
  <si>
    <t>ENDEUDAMIENTO</t>
  </si>
  <si>
    <t>ENDEUDAMIENTO TOTAL</t>
  </si>
  <si>
    <t xml:space="preserve">Pasivo exigible </t>
  </si>
  <si>
    <t>EERR</t>
  </si>
  <si>
    <t>DEUDA A CORTO PLAZO</t>
  </si>
  <si>
    <t xml:space="preserve">Deuda total </t>
  </si>
  <si>
    <t>DEUDA A LARGO PLAZO</t>
  </si>
  <si>
    <t>COBERTURA DE GASTOS FINANCIEROS</t>
  </si>
  <si>
    <t>Resultado antes de imptos e intereses</t>
  </si>
  <si>
    <t>GASTOS FINANCIEROS</t>
  </si>
  <si>
    <t>Gastos financieros</t>
  </si>
  <si>
    <t>R.A.I.I.D.A.I.E.</t>
  </si>
  <si>
    <t>UTILIDAD DESPUES DE IMPUESTO</t>
  </si>
  <si>
    <t>Impuesto Renta</t>
  </si>
  <si>
    <t>R.A.I.I.D.A.I.E</t>
  </si>
  <si>
    <t>Flujo neto total del período</t>
  </si>
  <si>
    <t xml:space="preserve"> Impuestos</t>
  </si>
  <si>
    <t xml:space="preserve"> Intereses (Gastos financieros)</t>
  </si>
  <si>
    <t>Saldo inicial de Efectivo</t>
  </si>
  <si>
    <t>Saldo final del Efectivo</t>
  </si>
  <si>
    <t xml:space="preserve">Items extrordinarios </t>
  </si>
  <si>
    <t xml:space="preserve">RENTABILIDAD </t>
  </si>
  <si>
    <t>RENTABILIDAD DEL PATRIMONIO</t>
  </si>
  <si>
    <t>Utilidad o pérdida del ejercicio</t>
  </si>
  <si>
    <t>RENTABILIDAD DEL ACTIVO</t>
  </si>
  <si>
    <t>Total Activos (promedios)</t>
  </si>
  <si>
    <t>UTILIDAD POR ACCION</t>
  </si>
  <si>
    <t xml:space="preserve">Resultado </t>
  </si>
  <si>
    <t xml:space="preserve">N° de acciones suscritas y pagadas </t>
  </si>
  <si>
    <t>RETORNO DE DIVIDENDOS</t>
  </si>
  <si>
    <t xml:space="preserve">Dividendos pagados </t>
  </si>
  <si>
    <t xml:space="preserve">Precio mercado acción </t>
  </si>
  <si>
    <t>Activo corriente</t>
  </si>
  <si>
    <t>Pasivo corriente</t>
  </si>
  <si>
    <t>ACTIVO CORRIENTE</t>
  </si>
  <si>
    <t>ACTIVO NO  CORRIENTE</t>
  </si>
  <si>
    <t>PASIVO NO CORRIENTE</t>
  </si>
  <si>
    <t>PASIVO  CORRIENTE</t>
  </si>
  <si>
    <t>PARTICIPACION MINORITARIOS</t>
  </si>
  <si>
    <t>Flujo de actividades de operaciones</t>
  </si>
  <si>
    <t>Flujo de actividades de inversión</t>
  </si>
  <si>
    <t>Flujo de actividades de financiación</t>
  </si>
  <si>
    <t>Saldo flujo de caja y efectivo</t>
  </si>
  <si>
    <t>Pasivo no corriente</t>
  </si>
  <si>
    <t xml:space="preserve"> Utilidad </t>
  </si>
  <si>
    <t>Ingresos de explotacion</t>
  </si>
  <si>
    <t>Ingresos Ordinarios, Total</t>
  </si>
  <si>
    <t>Costo de Ventas</t>
  </si>
  <si>
    <t>Depreciacion  y amoritzaciones</t>
  </si>
  <si>
    <t>Depreciación y amortización</t>
  </si>
  <si>
    <t>Interes minoritarios</t>
  </si>
  <si>
    <t>Liquidez</t>
  </si>
  <si>
    <t>veces</t>
  </si>
  <si>
    <t>Endeudamiento</t>
  </si>
  <si>
    <t>Deuda corriente</t>
  </si>
  <si>
    <t>Deuda no corriente</t>
  </si>
  <si>
    <t>Rentabilidad</t>
  </si>
  <si>
    <t>%</t>
  </si>
  <si>
    <t>$</t>
  </si>
  <si>
    <t>Total activos</t>
  </si>
  <si>
    <t>Total pasivos</t>
  </si>
  <si>
    <t>FLUJO</t>
  </si>
  <si>
    <t>Utilidad antes de impuestos (incluye minoritario)</t>
  </si>
  <si>
    <t>Resultado de Explotacion</t>
  </si>
  <si>
    <t>Ingresos Financieros</t>
  </si>
  <si>
    <t>Costos Financieros</t>
  </si>
  <si>
    <t>Diferencia de Cambio</t>
  </si>
  <si>
    <t>Resultado por Unidades Reajustables</t>
  </si>
  <si>
    <t>Resultado Financiero</t>
  </si>
  <si>
    <t>Otros Gastos Distintos de la Operación</t>
  </si>
  <si>
    <t>Resultado antes de Impuesto</t>
  </si>
  <si>
    <t>Impuestos a las Ganancias</t>
  </si>
  <si>
    <t>Interes Minoritario</t>
  </si>
  <si>
    <t>Resultado del Ejercicio</t>
  </si>
  <si>
    <t>Ganancias en venta de activos no corrientes</t>
  </si>
  <si>
    <t>GANANCIAS  tenedores de instrumentos</t>
  </si>
  <si>
    <t>Productos no regulados no sanitarios</t>
  </si>
  <si>
    <t>Patrimonio promedio controladora</t>
  </si>
  <si>
    <t>Gastos por beneficios a los empleados</t>
  </si>
  <si>
    <t>Gastos por depreciación y amortización</t>
  </si>
  <si>
    <t>Otros gastos, por naturaleza</t>
  </si>
  <si>
    <t>Patrimonio atribuible a los propietarios de la controladora</t>
  </si>
  <si>
    <t>Participaciones no controladoras</t>
  </si>
  <si>
    <t>Patrimonio total</t>
  </si>
  <si>
    <t>Ingresos financieros</t>
  </si>
  <si>
    <t>PATRIMONIO CONTROLADORA</t>
  </si>
  <si>
    <t xml:space="preserve">Ingresos  de actividades ordinarias, total </t>
  </si>
  <si>
    <t>Materias primas y consumibles utilizados</t>
  </si>
  <si>
    <t>Reversión de pérdidas  por deterioro de valor (pérdidas por deterioro de valor)  reconocidas en el resultado del período</t>
  </si>
  <si>
    <t>Otros gastos</t>
  </si>
  <si>
    <t>Ganancia atribuible a los propietarios de la controladora</t>
  </si>
  <si>
    <t>Acum Junio 2010</t>
  </si>
  <si>
    <t>ACTIVOS</t>
  </si>
  <si>
    <t>Nota</t>
  </si>
  <si>
    <t>ACTIVOS CORRIENTES</t>
  </si>
  <si>
    <t>Efectivo y equivalentes al efectivo</t>
  </si>
  <si>
    <t>Otros activos no financieros</t>
  </si>
  <si>
    <t>Deudores comerciales y otras cuentas por cobrar</t>
  </si>
  <si>
    <t>Cuentas por cobrar a entidades relacionadas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</si>
  <si>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</si>
  <si>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</si>
  <si>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</si>
  <si>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Activos intangibles distintos de la plusvalía</t>
  </si>
  <si>
    <t>TOTAL DE ACTIVOS NO CORRIENTES</t>
  </si>
  <si>
    <t>PATRIMONIO Y PASIVOS</t>
  </si>
  <si>
    <t>PASIVOS CORRIENTES</t>
  </si>
  <si>
    <t>Cuentas por pagar a entidades relacionadas</t>
  </si>
  <si>
    <t>Pasivos por impuestos</t>
  </si>
  <si>
    <t>PASIVOS CORRIENTES TOTALES</t>
  </si>
  <si>
    <t>PASIVOS NO CORRIENTES</t>
  </si>
  <si>
    <t>Otras provisiones</t>
  </si>
  <si>
    <t>Pasivo por impuestos diferidos</t>
  </si>
  <si>
    <t>Otras cuentas por pagar</t>
  </si>
  <si>
    <t>TOTAL PASIVOS</t>
  </si>
  <si>
    <t>Otras participaciones en el patrimonio</t>
  </si>
  <si>
    <t>Ganancia</t>
  </si>
  <si>
    <t xml:space="preserve">Ganancia </t>
  </si>
  <si>
    <t xml:space="preserve">Ganancias por acción básica </t>
  </si>
  <si>
    <t>Cobros procedentes de las ventas de bienes y prestación de servicios</t>
  </si>
  <si>
    <t>Cobros procedentes de contratos mantenidos con propósitos de intermediación o para negociar</t>
  </si>
  <si>
    <t>Cobros procedentes de regalías, cuotas, comisiones y otros ingresos de actividades ordinarias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</si>
  <si>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</si>
  <si>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</si>
  <si>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</si>
  <si>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</si>
  <si>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</si>
  <si>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</si>
  <si>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</si>
  <si>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</si>
  <si>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</si>
  <si>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</si>
  <si>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</si>
  <si>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</si>
  <si>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</si>
  <si>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</si>
  <si>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</si>
  <si>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</si>
  <si>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</si>
  <si>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</si>
  <si>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</si>
  <si>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Compras de propiedades, planta y equipo</t>
  </si>
  <si>
    <t>Compras de activos intangibles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</si>
  <si>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</si>
  <si>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</si>
  <si>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</si>
  <si>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</si>
  <si>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</si>
  <si>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</si>
  <si>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Impuestos a las ganancias reembolsados (pagados)</t>
  </si>
  <si>
    <t>Otras entradas (salidas) de efectivo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</si>
  <si>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</si>
  <si>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</si>
  <si>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</si>
  <si>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</si>
  <si>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>Importes procedentes de préstamos de largo plazo</t>
  </si>
  <si>
    <t>Importes procedentes de préstamos de corto plazo</t>
  </si>
  <si>
    <t>Préstamos de entidades relacionadas</t>
  </si>
  <si>
    <t>Pagos de pasivos por arrendamientos financieros</t>
  </si>
  <si>
    <t>Pagos de préstamos a entidades relacionadas</t>
  </si>
  <si>
    <t>Efectos de la variación en la tasa de cambio sobre el efectivo y equivalentes al efectivo</t>
  </si>
  <si>
    <t>EcoRiles S.A.</t>
  </si>
  <si>
    <t>Ingresos Ordinarios</t>
  </si>
  <si>
    <t>Aguas Andinas Consolidado</t>
  </si>
  <si>
    <t>Análisis Razonado</t>
  </si>
  <si>
    <t>RESULTADO POR NATURALEZA</t>
  </si>
  <si>
    <t>% Var.</t>
  </si>
  <si>
    <t>Activos</t>
  </si>
  <si>
    <t>Total pasivos y patrimonio</t>
  </si>
  <si>
    <t>Actividades de la operación</t>
  </si>
  <si>
    <t>Actividades de inversión</t>
  </si>
  <si>
    <t>Actividades de financiación</t>
  </si>
  <si>
    <t>Saldo final de efectivo</t>
  </si>
  <si>
    <t>Razón ácida</t>
  </si>
  <si>
    <t>Endeudamiento total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</si>
  <si>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</si>
  <si>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</si>
  <si>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</si>
  <si>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</si>
  <si>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</si>
  <si>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</si>
  <si>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Ventas</t>
  </si>
  <si>
    <t>Participación</t>
  </si>
  <si>
    <t>Total</t>
  </si>
  <si>
    <t>Diferencia</t>
  </si>
  <si>
    <t>Clientes</t>
  </si>
  <si>
    <t>Liquidez corriente</t>
  </si>
  <si>
    <t> Moneda</t>
  </si>
  <si>
    <t> Total</t>
  </si>
  <si>
    <t>12 meses</t>
  </si>
  <si>
    <t>AFRs</t>
  </si>
  <si>
    <t>Retorno de dividendos (*)</t>
  </si>
  <si>
    <t>Resultados</t>
  </si>
  <si>
    <t>Análisis de Ingresos</t>
  </si>
  <si>
    <t>Servicios No-Sanitarios</t>
  </si>
  <si>
    <t>Total patrimonio</t>
  </si>
  <si>
    <t>Totales</t>
  </si>
  <si>
    <t>Pasivos y patrimonio</t>
  </si>
  <si>
    <t>1 a 3 años</t>
  </si>
  <si>
    <t>3 a 5 años</t>
  </si>
  <si>
    <t>más de 5 años</t>
  </si>
  <si>
    <t>Variable</t>
  </si>
  <si>
    <t>Fija</t>
  </si>
  <si>
    <t>Cobertura gastos financieros anualizado</t>
  </si>
  <si>
    <t>Rentabilidad del patrimonio atribuible a los propietarios de la controladora anualizado</t>
  </si>
  <si>
    <t>Rentabilidad activos anualizado</t>
  </si>
  <si>
    <t>Utilidad por acción anualizado</t>
  </si>
  <si>
    <t>Estado de Flujo de efectivo directo</t>
  </si>
  <si>
    <t>Clases de pagos en efectivo procedentes de actividades de operación</t>
  </si>
  <si>
    <t>Recursos por ventas de otros activos a largo plazo</t>
  </si>
  <si>
    <t>Cobros a entidades relacionadas</t>
  </si>
  <si>
    <t>Flujos de efectivo procedentes de (utilizados en) actividades de inversión</t>
  </si>
  <si>
    <t>Reembolsos de préstamos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</si>
  <si>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</si>
  <si>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</si>
  <si>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</si>
  <si>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Gasto por impuestos</t>
  </si>
  <si>
    <t>Interconexiones*</t>
  </si>
  <si>
    <t>Bonos</t>
  </si>
  <si>
    <t>Préstamos</t>
  </si>
  <si>
    <t>Importes procedentes de ventas de activos intangibles</t>
  </si>
  <si>
    <t>Otros pasivos no financieros</t>
  </si>
  <si>
    <t>Variación en</t>
  </si>
  <si>
    <t>Periodo</t>
  </si>
  <si>
    <t>Trimestre</t>
  </si>
  <si>
    <t>Estado de Resultados (M$)</t>
  </si>
  <si>
    <t>(M$)</t>
  </si>
  <si>
    <t>Composición por instrumento</t>
  </si>
  <si>
    <t>Composición por tasas</t>
  </si>
  <si>
    <t>Otros activos financieros</t>
  </si>
  <si>
    <t>Derechos por cobrar</t>
  </si>
  <si>
    <t>TOTAL DE ACTIVOS</t>
  </si>
  <si>
    <t>TOTAL DE PASIVOS NO CORRIENTES</t>
  </si>
  <si>
    <t>PATRIMONIO</t>
  </si>
  <si>
    <t xml:space="preserve">PATRIMONIO TOTAL </t>
  </si>
  <si>
    <t>TOTAL DE PATRIMONIO Y PASIVOS</t>
  </si>
  <si>
    <t>Ganancia antes de impuestos</t>
  </si>
  <si>
    <t>Ganancia procedente de operaciones continuadas</t>
  </si>
  <si>
    <t>Ganancia atribuible a</t>
  </si>
  <si>
    <t xml:space="preserve">Ganancias por acción </t>
  </si>
  <si>
    <t>Resultados Acumulados Segmento Agua</t>
  </si>
  <si>
    <t>Resultados Acumulados Segmento No Agua</t>
  </si>
  <si>
    <t>Flujo neto del ejercicio</t>
  </si>
  <si>
    <t>Deuda Financiera M$</t>
  </si>
  <si>
    <t>Agua potable</t>
  </si>
  <si>
    <t>Aguas servidas</t>
  </si>
  <si>
    <t>Otros ingresos regulados</t>
  </si>
  <si>
    <t>Ingresos no-regulados</t>
  </si>
  <si>
    <t>Ingresos ordinarios</t>
  </si>
  <si>
    <t>Costos y gastos de operación</t>
  </si>
  <si>
    <t>Resultado de explotación</t>
  </si>
  <si>
    <t>Otras ganancias</t>
  </si>
  <si>
    <t>Resultado financiero*</t>
  </si>
  <si>
    <t>Utilidad neta</t>
  </si>
  <si>
    <t xml:space="preserve">Agua potable </t>
  </si>
  <si>
    <t>Recolección aguas servidas</t>
  </si>
  <si>
    <r>
      <t>Volumen de Venta (miles de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>)</t>
    </r>
  </si>
  <si>
    <t>Ingresos externos</t>
  </si>
  <si>
    <t>Ingresos segmentos</t>
  </si>
  <si>
    <t>Otras ganancias (pérdidas)</t>
  </si>
  <si>
    <t>Estados de Flujos de Efectivo (M$)</t>
  </si>
  <si>
    <t>Dividendos: indicar pago últimos 12 meses histórico</t>
  </si>
  <si>
    <t xml:space="preserve">      % Var.</t>
  </si>
  <si>
    <t>Pasivo por arrendamientos</t>
  </si>
  <si>
    <t>ACTIVOS NO CORRIENTES</t>
  </si>
  <si>
    <t>Total de pasivos corrientes distintos de los pasivos incluidos en grupos de pasivos para su disposición clasificados como mantenidos para la venta</t>
  </si>
  <si>
    <t xml:space="preserve">ESTADOS DE RESULTADOS POR NATURALEZA </t>
  </si>
  <si>
    <t>Ingresos de actividades ordinarias</t>
  </si>
  <si>
    <t>Otras (Pérdidas) Ganancias</t>
  </si>
  <si>
    <t>Control</t>
  </si>
  <si>
    <t>TOTAL ACTIVO</t>
  </si>
  <si>
    <t>Anam S.A.</t>
  </si>
  <si>
    <t>Ganancias por acción básica en operaciones continuadas ($)</t>
  </si>
  <si>
    <t>Importes procedentes de ventas de propiedades, planta y equipo</t>
  </si>
  <si>
    <t>Activos por derecho de uso</t>
  </si>
  <si>
    <t>Pasivos por arrendamientos</t>
  </si>
  <si>
    <t>Ganancias (pérdidas) de actividades operacionales</t>
  </si>
  <si>
    <t>Ganancias (pérdidas) de cambio en moneda extranjera</t>
  </si>
  <si>
    <t>Miles $</t>
  </si>
  <si>
    <t>Inversiones contabilizadas utilizando el método de la partic</t>
  </si>
  <si>
    <t>Participación en las ganancias (pérdidas) de asociadas y negocion conjuntos</t>
  </si>
  <si>
    <t>Ganancia (pérdida) procedente de operaciones discontinuadas</t>
  </si>
  <si>
    <t>Flujos de efectivo procedentes de (utilizados en) actividades de operación</t>
  </si>
  <si>
    <t>Importes procedentes de préstamos, clasificados como actividades de financiación</t>
  </si>
  <si>
    <t xml:space="preserve">Incremento (disminución) en el efectivo y equivalentes al efectivo, antes del efecto de los cambios en la tasa de cambio </t>
  </si>
  <si>
    <t>&lt;(200%)</t>
  </si>
  <si>
    <t>Total otros pasivos financieros</t>
  </si>
  <si>
    <t>Total pasivos por arrendamiento</t>
  </si>
  <si>
    <t>Otras reservas</t>
  </si>
  <si>
    <t xml:space="preserve">Pérdidas por deterioro de valor </t>
  </si>
  <si>
    <t>Pérdidas por deterioro de valor</t>
  </si>
  <si>
    <t xml:space="preserve">venta de materiales </t>
  </si>
  <si>
    <t>afr</t>
  </si>
  <si>
    <t xml:space="preserve">pago de AFR </t>
  </si>
  <si>
    <t>pago de bono</t>
  </si>
  <si>
    <t xml:space="preserve">aumento de tasa en los instrumentos de renta fija </t>
  </si>
  <si>
    <t>Hidrogistica S.A.</t>
  </si>
  <si>
    <t>AR</t>
  </si>
  <si>
    <t xml:space="preserve">Forward </t>
  </si>
  <si>
    <t>Gasto por depreciación y amortización</t>
  </si>
  <si>
    <t>Ganancias por deterioro y reversos de pérdidas por deterioro (Pérdidas por deterioro) determinado de acuerdo con NIIF 9  sobre activos financieros</t>
  </si>
  <si>
    <t>Costos financieros</t>
  </si>
  <si>
    <t>Resultado por unidades reajustables</t>
  </si>
  <si>
    <t>Gastos por impuestos a las ganancias</t>
  </si>
  <si>
    <t>Activos por impuestos corrientes</t>
  </si>
  <si>
    <t>Activos no corrientes mantenidos para la venta</t>
  </si>
  <si>
    <t>Propiedades, plantas y equipos</t>
  </si>
  <si>
    <t>Activos por impuestos diferidos</t>
  </si>
  <si>
    <t>Cuentas por pagar comerciales y otras cuentas por pagar</t>
  </si>
  <si>
    <t>Provisiones corrientes por beneficios a los empleados</t>
  </si>
  <si>
    <t>Pasivos incluidos en grupos de activos para su disposición clasificados como mantenidos para la venta</t>
  </si>
  <si>
    <t>Provisiones no corrientes por beneficios a los empleados</t>
  </si>
  <si>
    <t>Ganancias (perdidas) acumuladas</t>
  </si>
  <si>
    <t xml:space="preserve">Otros pasivos financieros </t>
  </si>
  <si>
    <t>Dic-23</t>
  </si>
  <si>
    <t xml:space="preserve">Impuestos a las ganancias (pagados) </t>
  </si>
  <si>
    <t>Efectos de la variación en la tasa de cambio sobre el efectivo y equivalentes al efectivo.</t>
  </si>
  <si>
    <t>Interes minoritario</t>
  </si>
  <si>
    <t>Interés Minoritario</t>
  </si>
  <si>
    <t>Sondajes y refuerzos de sistema de abastecimiento de agua</t>
  </si>
  <si>
    <t>Otros proyectos de inversión</t>
  </si>
  <si>
    <t>Ganancia, atribuible a participaciones no controladora</t>
  </si>
  <si>
    <t>12-14-15</t>
  </si>
  <si>
    <t>24</t>
  </si>
  <si>
    <t>Mes de pago: may 24</t>
  </si>
  <si>
    <t>Interés minoritario</t>
  </si>
  <si>
    <t>2T24 – 2T23</t>
  </si>
  <si>
    <t>Biogenera S.A.</t>
  </si>
  <si>
    <t>3T24</t>
  </si>
  <si>
    <t>3T23</t>
  </si>
  <si>
    <t>01-07-2024
30-09-2024</t>
  </si>
  <si>
    <t>01-07-2023
30-09-2023</t>
  </si>
  <si>
    <t>Mayor inversión, mayores pagos a proveedores de bienes y servicios</t>
  </si>
  <si>
    <t xml:space="preserve">Pago Bonos </t>
  </si>
  <si>
    <t>Menores pagos seguros anticipados</t>
  </si>
  <si>
    <t>Mayor provisión de deudores incobrables, menor provisión ingresos devengados, menores ventas ocasionales</t>
  </si>
  <si>
    <t>Mayores gastos anticipados</t>
  </si>
  <si>
    <t>Menor inversión en Activos Intangibles</t>
  </si>
  <si>
    <t>Mayor inversión en PPE</t>
  </si>
  <si>
    <t>Prepago o finiquito prestamos bancarios, menor AFR</t>
  </si>
  <si>
    <t>Mayor pago a proveedores de bienes y servicios</t>
  </si>
  <si>
    <t>Menor IVA, PPM y otros impuestos</t>
  </si>
  <si>
    <t>Colocacion Bono Suizo</t>
  </si>
  <si>
    <t>Inversiones (Miles $)</t>
  </si>
  <si>
    <t>Tratamiento y disposición de aguas servidas</t>
  </si>
  <si>
    <t>Pérdidas por deterioro de valor (reversiones de pérdidas por deterioro de valor) reconocidas en el resultado del periodo</t>
  </si>
  <si>
    <t>Plusvalia</t>
  </si>
  <si>
    <t>Otros pasivos financieros</t>
  </si>
  <si>
    <t>Capital Emitido</t>
  </si>
  <si>
    <t>Primas de emision</t>
  </si>
  <si>
    <t xml:space="preserve">Clases de cobros por actividades de operación </t>
  </si>
  <si>
    <t xml:space="preserve"> Flujos de efectivo procedentes de (utilizados en) actividades de financiación</t>
  </si>
  <si>
    <t>Dic-24</t>
  </si>
  <si>
    <t>Dic 24 -Dic 23</t>
  </si>
  <si>
    <t>Mar-25</t>
  </si>
  <si>
    <t>Mar.24</t>
  </si>
  <si>
    <t>Mar.25</t>
  </si>
  <si>
    <t>2025 / 2024</t>
  </si>
  <si>
    <t>Mar-24</t>
  </si>
  <si>
    <t>Ejercicio 2023</t>
  </si>
  <si>
    <t>Bonos/Derivados</t>
  </si>
  <si>
    <t xml:space="preserve">         Dic. 24</t>
  </si>
  <si>
    <t>31-03-2024</t>
  </si>
  <si>
    <t>Acum mar 2023</t>
  </si>
  <si>
    <t>Acum mar 2024</t>
  </si>
  <si>
    <t>Periodo mar 2024 - mar 2023</t>
  </si>
  <si>
    <t>DIVIDENDO PROV. 78 $ 6,3	04-01-2025</t>
  </si>
  <si>
    <t>Cambiar cada trimestre</t>
  </si>
  <si>
    <t>Mar 25 -Mar 24</t>
  </si>
  <si>
    <t>Renovación de redes de Aguas Potable</t>
  </si>
  <si>
    <t>Renovación de redes de Aguas Servidas</t>
  </si>
  <si>
    <t>Reposición y mejoras de equipos en Plantas</t>
  </si>
  <si>
    <t>Arranques y Medidores</t>
  </si>
  <si>
    <t>Ampliación Tratamiento Biológico PTAS Melipilla</t>
  </si>
  <si>
    <t>Plan de Eficiencia Hidráulica</t>
  </si>
  <si>
    <t>Reposición de Activos de Biofactorías La Farfana-Trebal</t>
  </si>
  <si>
    <t>Préstamos bancarios variable</t>
  </si>
  <si>
    <t>Préstamos bancarios fijo</t>
  </si>
  <si>
    <t>Aportes financieros reembolsables</t>
  </si>
  <si>
    <t>Derivados</t>
  </si>
  <si>
    <t>Pasivo por arrendamiento</t>
  </si>
  <si>
    <t xml:space="preserve">Total </t>
  </si>
  <si>
    <t>Aspectos financieros al 31-03-2025</t>
  </si>
  <si>
    <t>Prestamos bancarios</t>
  </si>
  <si>
    <t>Bono</t>
  </si>
  <si>
    <t>AFR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</si>
</sst>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-* #,##0.00\ _€_-;\-* #,##0.00\ _€_-;_-* &quot;-&quot;??\ _€_-;_-@_-"/>
    <numFmt numFmtId="169" formatCode="_-* #,##0.00\ _P_t_s_-;\-* #,##0.00\ _P_t_s_-;_-* &quot;-&quot;??\ _P_t_s_-;_-@_-"/>
    <numFmt numFmtId="170" formatCode="_-* #,##0_-;\-* #,##0_-;_-* &quot;-&quot;??_-;_-@_-"/>
    <numFmt numFmtId="171" formatCode="#,##0;[Red]\(#,##0\)"/>
    <numFmt numFmtId="172" formatCode="##,##0.00;[Red]\(##,##0.00\)"/>
    <numFmt numFmtId="173" formatCode="#,##0.000;[Red]\(#,##0.000\)"/>
    <numFmt numFmtId="174" formatCode="#,##0.00;[Red]\(#,##0.00\)"/>
    <numFmt numFmtId="175" formatCode="#,##0.00;[Red]#,##0.00"/>
    <numFmt numFmtId="176" formatCode="#,##0.0;[Red]\(#,##0.0\)"/>
    <numFmt numFmtId="177" formatCode="_-* #,##0\ _P_t_s_-;\-* #,##0\ _P_t_s_-;_-* &quot;-&quot;??\ _P_t_s_-;_-@_-"/>
    <numFmt numFmtId="178" formatCode="_-* #,##0.000_-;\-* #,##0.000_-;_-* &quot;-&quot;??_-;_-@_-"/>
    <numFmt numFmtId="179" formatCode="_-* #,##0.000000_-;\-* #,##0.000000_-;_-* &quot;-&quot;??????_-;_-@_-"/>
    <numFmt numFmtId="180" formatCode="_-* #,##0.0000_-;\-* #,##0.0000_-;_-* &quot;-&quot;??_-;_-@_-"/>
    <numFmt numFmtId="181" formatCode="_-* #,##0.000\ _P_t_s_-;\-* #,##0.000\ _P_t_s_-;_-* &quot;-&quot;??\ _P_t_s_-;_-@_-"/>
    <numFmt numFmtId="182" formatCode="_-* #,##0.0000\ _P_t_s_-;\-* #,##0.0000\ _P_t_s_-;_-* &quot;-&quot;??\ _P_t_s_-;_-@_-"/>
    <numFmt numFmtId="183" formatCode="0.00000"/>
    <numFmt numFmtId="184" formatCode="0.0000"/>
    <numFmt numFmtId="185" formatCode="0.000"/>
    <numFmt numFmtId="186" formatCode="_-* #,##0.000_-;\-* #,##0.000_-;_-* &quot;-&quot;???_-;_-@_-"/>
    <numFmt numFmtId="187" formatCode="##,##0;\(##,##0\)"/>
    <numFmt numFmtId="188" formatCode="0.0000%"/>
    <numFmt numFmtId="189" formatCode="0.0%"/>
    <numFmt numFmtId="190" formatCode="#,##0;\(\ #,##0\)"/>
    <numFmt numFmtId="191" formatCode="#,##0;\(\ \ #,##0\)"/>
    <numFmt numFmtId="192" formatCode="dd\-mm\-yyyy"/>
    <numFmt numFmtId="193" formatCode="d\-m\-yyyy"/>
    <numFmt numFmtId="194" formatCode="_-* #,##0.00\ &quot;DM&quot;_-;\-* #,##0.00\ &quot;DM&quot;_-;_-* &quot;-&quot;??\ &quot;DM&quot;_-;_-@_-"/>
    <numFmt numFmtId="195" formatCode="_-* #,##0.00\ [$€]_-;\-* #,##0.00\ [$€]_-;_-* &quot;-&quot;??\ [$€]_-;_-@_-"/>
    <numFmt numFmtId="196" formatCode="_-* #,##0\ _D_M_-;\-* #,##0\ _D_M_-;_-* &quot;-&quot;\ _D_M_-;_-@_-"/>
    <numFmt numFmtId="197" formatCode="_-* #,##0.00\ _D_M_-;\-* #,##0.00\ _D_M_-;_-* &quot;-&quot;??\ _D_M_-;_-@_-"/>
    <numFmt numFmtId="198" formatCode="_-* #,##0\ &quot;DM&quot;_-;\-* #,##0\ &quot;DM&quot;_-;_-* &quot;-&quot;\ &quot;DM&quot;_-;_-@_-"/>
    <numFmt numFmtId="199" formatCode="_(* #,##0_);_(* \(#,##0\);_(* &quot;-&quot;??_);_(@_)"/>
    <numFmt numFmtId="200" formatCode="#,##0.000"/>
    <numFmt numFmtId="201" formatCode="#,##0_ ;\-#,##0\ "/>
    <numFmt numFmtId="202" formatCode="#,##0\ ;\(#,##0\);\-\ ;"/>
    <numFmt numFmtId="203" formatCode="0.0%_);\(0.0%\)"/>
    <numFmt numFmtId="204" formatCode="#,##0;\(#,##0\);\-"/>
    <numFmt numFmtId="205" formatCode="#,##0.000;\(#,##0.000\);\-"/>
    <numFmt numFmtId="206" formatCode="#,##0.0"/>
    <numFmt numFmtId="207" formatCode="0.000000%"/>
  </numFmts>
  <fonts count="1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66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indexed="12"/>
      <name val="Calibri"/>
      <family val="2"/>
      <scheme val="minor"/>
    </font>
    <font>
      <u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9"/>
      <color indexed="62"/>
      <name val="Calibri"/>
      <family val="2"/>
      <scheme val="minor"/>
    </font>
    <font>
      <sz val="9"/>
      <color indexed="62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</font>
    <font>
      <b/>
      <sz val="10"/>
      <name val="Cambria"/>
      <family val="2"/>
      <scheme val="major"/>
    </font>
    <font>
      <b/>
      <sz val="10"/>
      <name val="Calibri"/>
      <family val="2"/>
    </font>
    <font>
      <sz val="9"/>
      <name val="Cambria"/>
      <family val="2"/>
      <scheme val="major"/>
    </font>
    <font>
      <sz val="8"/>
      <name val="Arial"/>
      <family val="2"/>
    </font>
    <font>
      <sz val="9"/>
      <name val="Calibri Light"/>
      <family val="2"/>
    </font>
  </fonts>
  <fills count="10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0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002060"/>
      </left>
      <right style="medium">
        <color rgb="FF002060"/>
      </right>
      <top/>
      <bottom style="medium">
        <color indexed="64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23"/>
      </left>
      <right style="thin">
        <color indexed="23"/>
      </right>
      <top style="medium">
        <color indexed="55"/>
      </top>
      <bottom/>
      <diagonal/>
    </border>
    <border>
      <left style="medium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92D0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2060"/>
      </right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indexed="64"/>
      </bottom>
      <diagonal/>
    </border>
    <border>
      <left style="thin">
        <color rgb="FF00206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81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8" fillId="8" borderId="0" applyNumberFormat="0" applyBorder="0" applyAlignment="0" applyProtection="0"/>
    <xf numFmtId="0" fontId="63" fillId="74" borderId="0" applyNumberFormat="0" applyBorder="0" applyAlignment="0" applyProtection="0"/>
    <xf numFmtId="0" fontId="64" fillId="74" borderId="0" applyNumberFormat="0" applyBorder="0" applyAlignment="0" applyProtection="0"/>
    <xf numFmtId="0" fontId="8" fillId="9" borderId="0" applyNumberFormat="0" applyBorder="0" applyAlignment="0" applyProtection="0"/>
    <xf numFmtId="0" fontId="63" fillId="75" borderId="0" applyNumberFormat="0" applyBorder="0" applyAlignment="0" applyProtection="0"/>
    <xf numFmtId="0" fontId="64" fillId="75" borderId="0" applyNumberFormat="0" applyBorder="0" applyAlignment="0" applyProtection="0"/>
    <xf numFmtId="0" fontId="8" fillId="10" borderId="0" applyNumberFormat="0" applyBorder="0" applyAlignment="0" applyProtection="0"/>
    <xf numFmtId="0" fontId="63" fillId="76" borderId="0" applyNumberFormat="0" applyBorder="0" applyAlignment="0" applyProtection="0"/>
    <xf numFmtId="0" fontId="64" fillId="76" borderId="0" applyNumberFormat="0" applyBorder="0" applyAlignment="0" applyProtection="0"/>
    <xf numFmtId="0" fontId="8" fillId="11" borderId="0" applyNumberFormat="0" applyBorder="0" applyAlignment="0" applyProtection="0"/>
    <xf numFmtId="0" fontId="63" fillId="77" borderId="0" applyNumberFormat="0" applyBorder="0" applyAlignment="0" applyProtection="0"/>
    <xf numFmtId="0" fontId="64" fillId="77" borderId="0" applyNumberFormat="0" applyBorder="0" applyAlignment="0" applyProtection="0"/>
    <xf numFmtId="0" fontId="8" fillId="12" borderId="0" applyNumberFormat="0" applyBorder="0" applyAlignment="0" applyProtection="0"/>
    <xf numFmtId="0" fontId="63" fillId="78" borderId="0" applyNumberFormat="0" applyBorder="0" applyAlignment="0" applyProtection="0"/>
    <xf numFmtId="0" fontId="64" fillId="78" borderId="0" applyNumberFormat="0" applyBorder="0" applyAlignment="0" applyProtection="0"/>
    <xf numFmtId="0" fontId="8" fillId="3" borderId="0" applyNumberFormat="0" applyBorder="0" applyAlignment="0" applyProtection="0"/>
    <xf numFmtId="0" fontId="63" fillId="79" borderId="0" applyNumberFormat="0" applyBorder="0" applyAlignment="0" applyProtection="0"/>
    <xf numFmtId="0" fontId="64" fillId="79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5" borderId="0" applyNumberFormat="0" applyBorder="0" applyAlignment="0" applyProtection="0"/>
    <xf numFmtId="0" fontId="35" fillId="12" borderId="0" applyNumberFormat="0" applyBorder="0" applyAlignment="0" applyProtection="0"/>
    <xf numFmtId="0" fontId="35" fillId="14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5" borderId="0" applyNumberFormat="0" applyBorder="0" applyAlignment="0" applyProtection="0"/>
    <xf numFmtId="0" fontId="35" fillId="12" borderId="0" applyNumberFormat="0" applyBorder="0" applyAlignment="0" applyProtection="0"/>
    <xf numFmtId="0" fontId="35" fillId="14" borderId="0" applyNumberFormat="0" applyBorder="0" applyAlignment="0" applyProtection="0"/>
    <xf numFmtId="0" fontId="8" fillId="15" borderId="0" applyNumberFormat="0" applyBorder="0" applyAlignment="0" applyProtection="0"/>
    <xf numFmtId="0" fontId="63" fillId="80" borderId="0" applyNumberFormat="0" applyBorder="0" applyAlignment="0" applyProtection="0"/>
    <xf numFmtId="0" fontId="64" fillId="80" borderId="0" applyNumberFormat="0" applyBorder="0" applyAlignment="0" applyProtection="0"/>
    <xf numFmtId="0" fontId="8" fillId="9" borderId="0" applyNumberFormat="0" applyBorder="0" applyAlignment="0" applyProtection="0"/>
    <xf numFmtId="0" fontId="63" fillId="81" borderId="0" applyNumberFormat="0" applyBorder="0" applyAlignment="0" applyProtection="0"/>
    <xf numFmtId="0" fontId="64" fillId="81" borderId="0" applyNumberFormat="0" applyBorder="0" applyAlignment="0" applyProtection="0"/>
    <xf numFmtId="0" fontId="8" fillId="16" borderId="0" applyNumberFormat="0" applyBorder="0" applyAlignment="0" applyProtection="0"/>
    <xf numFmtId="0" fontId="63" fillId="82" borderId="0" applyNumberFormat="0" applyBorder="0" applyAlignment="0" applyProtection="0"/>
    <xf numFmtId="0" fontId="64" fillId="82" borderId="0" applyNumberFormat="0" applyBorder="0" applyAlignment="0" applyProtection="0"/>
    <xf numFmtId="0" fontId="8" fillId="17" borderId="0" applyNumberFormat="0" applyBorder="0" applyAlignment="0" applyProtection="0"/>
    <xf numFmtId="0" fontId="63" fillId="83" borderId="0" applyNumberFormat="0" applyBorder="0" applyAlignment="0" applyProtection="0"/>
    <xf numFmtId="0" fontId="64" fillId="83" borderId="0" applyNumberFormat="0" applyBorder="0" applyAlignment="0" applyProtection="0"/>
    <xf numFmtId="0" fontId="8" fillId="15" borderId="0" applyNumberFormat="0" applyBorder="0" applyAlignment="0" applyProtection="0"/>
    <xf numFmtId="0" fontId="63" fillId="84" borderId="0" applyNumberFormat="0" applyBorder="0" applyAlignment="0" applyProtection="0"/>
    <xf numFmtId="0" fontId="64" fillId="84" borderId="0" applyNumberFormat="0" applyBorder="0" applyAlignment="0" applyProtection="0"/>
    <xf numFmtId="0" fontId="8" fillId="7" borderId="0" applyNumberFormat="0" applyBorder="0" applyAlignment="0" applyProtection="0"/>
    <xf numFmtId="0" fontId="63" fillId="85" borderId="0" applyNumberFormat="0" applyBorder="0" applyAlignment="0" applyProtection="0"/>
    <xf numFmtId="0" fontId="64" fillId="85" borderId="0" applyNumberFormat="0" applyBorder="0" applyAlignment="0" applyProtection="0"/>
    <xf numFmtId="0" fontId="5" fillId="18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8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9" fillId="15" borderId="0" applyNumberFormat="0" applyBorder="0" applyAlignment="0" applyProtection="0"/>
    <xf numFmtId="0" fontId="65" fillId="86" borderId="0" applyNumberFormat="0" applyBorder="0" applyAlignment="0" applyProtection="0"/>
    <xf numFmtId="0" fontId="9" fillId="9" borderId="0" applyNumberFormat="0" applyBorder="0" applyAlignment="0" applyProtection="0"/>
    <xf numFmtId="0" fontId="65" fillId="87" borderId="0" applyNumberFormat="0" applyBorder="0" applyAlignment="0" applyProtection="0"/>
    <xf numFmtId="0" fontId="9" fillId="16" borderId="0" applyNumberFormat="0" applyBorder="0" applyAlignment="0" applyProtection="0"/>
    <xf numFmtId="0" fontId="65" fillId="88" borderId="0" applyNumberFormat="0" applyBorder="0" applyAlignment="0" applyProtection="0"/>
    <xf numFmtId="0" fontId="9" fillId="17" borderId="0" applyNumberFormat="0" applyBorder="0" applyAlignment="0" applyProtection="0"/>
    <xf numFmtId="0" fontId="65" fillId="89" borderId="0" applyNumberFormat="0" applyBorder="0" applyAlignment="0" applyProtection="0"/>
    <xf numFmtId="0" fontId="9" fillId="15" borderId="0" applyNumberFormat="0" applyBorder="0" applyAlignment="0" applyProtection="0"/>
    <xf numFmtId="0" fontId="65" fillId="90" borderId="0" applyNumberFormat="0" applyBorder="0" applyAlignment="0" applyProtection="0"/>
    <xf numFmtId="0" fontId="9" fillId="7" borderId="0" applyNumberFormat="0" applyBorder="0" applyAlignment="0" applyProtection="0"/>
    <xf numFmtId="0" fontId="65" fillId="91" borderId="0" applyNumberFormat="0" applyBorder="0" applyAlignment="0" applyProtection="0"/>
    <xf numFmtId="0" fontId="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5" fillId="1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1" fillId="26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26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" fillId="19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26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5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5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" fillId="22" borderId="0" applyNumberFormat="0" applyBorder="0" applyAlignment="0" applyProtection="0"/>
    <xf numFmtId="0" fontId="5" fillId="29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39" borderId="0" applyNumberFormat="0" applyBorder="0" applyAlignment="0" applyProtection="0"/>
    <xf numFmtId="0" fontId="36" fillId="3" borderId="0" applyNumberFormat="0" applyBorder="0" applyAlignment="0" applyProtection="0"/>
    <xf numFmtId="0" fontId="12" fillId="4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37" fillId="17" borderId="1" applyNumberFormat="0" applyAlignment="0" applyProtection="0"/>
    <xf numFmtId="0" fontId="13" fillId="44" borderId="1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13" fillId="44" borderId="1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14" fillId="34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34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5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5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4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40" fillId="17" borderId="1" applyNumberFormat="0" applyAlignment="0" applyProtection="0"/>
    <xf numFmtId="0" fontId="40" fillId="7" borderId="1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2" fillId="4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3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3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5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5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5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58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8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8" fillId="41" borderId="1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1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195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9" fillId="32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9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9" fillId="7" borderId="1" applyNumberFormat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39" fillId="47" borderId="3" applyNumberFormat="0" applyAlignment="0" applyProtection="0"/>
    <xf numFmtId="0" fontId="51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167" fontId="4" fillId="0" borderId="0" applyFont="0" applyFill="0" applyBorder="0" applyAlignment="0" applyProtection="0"/>
    <xf numFmtId="196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4" fillId="0" borderId="0" applyFont="0" applyFill="0" applyBorder="0" applyAlignment="0" applyProtection="0"/>
    <xf numFmtId="198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20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20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52" fillId="6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/>
    <xf numFmtId="0" fontId="7" fillId="0" borderId="0"/>
    <xf numFmtId="0" fontId="7" fillId="0" borderId="0"/>
    <xf numFmtId="0" fontId="66" fillId="0" borderId="0"/>
    <xf numFmtId="0" fontId="10" fillId="0" borderId="0"/>
    <xf numFmtId="0" fontId="6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7" fillId="0" borderId="0"/>
    <xf numFmtId="0" fontId="53" fillId="0" borderId="0" applyNumberFormat="0" applyFill="0" applyBorder="0">
      <alignment vertical="center"/>
    </xf>
    <xf numFmtId="0" fontId="7" fillId="0" borderId="0"/>
    <xf numFmtId="0" fontId="7" fillId="0" borderId="0"/>
    <xf numFmtId="0" fontId="7" fillId="0" borderId="0"/>
    <xf numFmtId="0" fontId="6" fillId="61" borderId="0"/>
    <xf numFmtId="0" fontId="6" fillId="61" borderId="0"/>
    <xf numFmtId="0" fontId="6" fillId="61" borderId="0"/>
    <xf numFmtId="0" fontId="7" fillId="0" borderId="0"/>
    <xf numFmtId="0" fontId="6" fillId="61" borderId="0"/>
    <xf numFmtId="0" fontId="6" fillId="61" borderId="0"/>
    <xf numFmtId="0" fontId="6" fillId="61" borderId="0"/>
    <xf numFmtId="0" fontId="7" fillId="40" borderId="11" applyNumberFormat="0" applyFont="0" applyAlignment="0" applyProtection="0"/>
    <xf numFmtId="0" fontId="10" fillId="92" borderId="26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7" fillId="40" borderId="11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10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37" fillId="17" borderId="1" applyNumberFormat="0" applyAlignment="0" applyProtection="0"/>
    <xf numFmtId="0" fontId="41" fillId="17" borderId="6" applyNumberFormat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1" fillId="44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4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4" fontId="22" fillId="60" borderId="1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22" fillId="60" borderId="1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22" fillId="60" borderId="1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0" fontId="22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22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22" fillId="60" borderId="12" applyNumberFormat="0" applyProtection="0">
      <alignment horizontal="left" vertical="top" indent="1"/>
    </xf>
    <xf numFmtId="4" fontId="22" fillId="8" borderId="0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8" fillId="3" borderId="1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8" fillId="3" borderId="1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8" fillId="9" borderId="1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8" fillId="9" borderId="1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8" fillId="29" borderId="12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8" fillId="29" borderId="12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8" fillId="14" borderId="1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8" fillId="14" borderId="1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8" fillId="21" borderId="1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8" fillId="21" borderId="1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8" fillId="39" borderId="1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8" fillId="39" borderId="1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8" fillId="16" borderId="1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8" fillId="16" borderId="1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8" fillId="64" borderId="1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8" fillId="64" borderId="1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8" fillId="13" borderId="1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3" borderId="1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22" fillId="65" borderId="14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22" fillId="65" borderId="14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24" fillId="15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24" fillId="15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8" fillId="8" borderId="1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8" fillId="8" borderId="1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8" fillId="66" borderId="0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8" fillId="8" borderId="0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8" fillId="8" borderId="0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0" fontId="7" fillId="15" borderId="1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7" fillId="15" borderId="1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7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7" fillId="8" borderId="1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7" fillId="8" borderId="1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7" fillId="12" borderId="1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7" fillId="12" borderId="1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7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7" fillId="66" borderId="1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7" fillId="66" borderId="1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7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7" fillId="11" borderId="15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7" fillId="11" borderId="15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33" fillId="15" borderId="17" applyBorder="0"/>
    <xf numFmtId="4" fontId="8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8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8" fillId="10" borderId="12" applyNumberFormat="0" applyProtection="0">
      <alignment vertical="center"/>
    </xf>
    <xf numFmtId="4" fontId="25" fillId="10" borderId="12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25" fillId="10" borderId="12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25" fillId="10" borderId="12" applyNumberFormat="0" applyProtection="0">
      <alignment vertical="center"/>
    </xf>
    <xf numFmtId="4" fontId="8" fillId="10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8" fillId="10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8" fillId="10" borderId="12" applyNumberFormat="0" applyProtection="0">
      <alignment horizontal="left" vertical="center" indent="1"/>
    </xf>
    <xf numFmtId="0" fontId="8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8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8" fillId="10" borderId="12" applyNumberFormat="0" applyProtection="0">
      <alignment horizontal="left" vertical="top" indent="1"/>
    </xf>
    <xf numFmtId="4" fontId="8" fillId="66" borderId="1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8" fillId="66" borderId="1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8" fillId="8" borderId="12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8" fillId="8" borderId="1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0" fontId="8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8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8" fillId="8" borderId="12" applyNumberFormat="0" applyProtection="0">
      <alignment horizontal="left" vertical="top" indent="1"/>
    </xf>
    <xf numFmtId="4" fontId="26" fillId="71" borderId="0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26" fillId="71" borderId="0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0" fontId="6" fillId="72" borderId="15"/>
    <xf numFmtId="0" fontId="6" fillId="72" borderId="15"/>
    <xf numFmtId="0" fontId="6" fillId="72" borderId="15"/>
    <xf numFmtId="0" fontId="6" fillId="72" borderId="15"/>
    <xf numFmtId="0" fontId="6" fillId="72" borderId="15"/>
    <xf numFmtId="4" fontId="27" fillId="66" borderId="1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27" fillId="66" borderId="1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27" fillId="66" borderId="12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2" fillId="0" borderId="8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8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5" fillId="10" borderId="11" applyNumberFormat="0" applyFont="0" applyAlignment="0" applyProtection="0"/>
    <xf numFmtId="0" fontId="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68" fillId="0" borderId="0"/>
    <xf numFmtId="0" fontId="4" fillId="0" borderId="0"/>
    <xf numFmtId="9" fontId="10" fillId="0" borderId="0" applyFont="0" applyFill="0" applyBorder="0" applyAlignment="0" applyProtection="0"/>
    <xf numFmtId="166" fontId="69" fillId="0" borderId="0" applyFont="0" applyFill="0" applyBorder="0" applyAlignment="0" applyProtection="0"/>
    <xf numFmtId="0" fontId="86" fillId="0" borderId="0"/>
    <xf numFmtId="165" fontId="3" fillId="0" borderId="0" applyFont="0" applyFill="0" applyBorder="0" applyAlignment="0" applyProtection="0"/>
    <xf numFmtId="41" fontId="86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16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98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0" borderId="11" applyNumberFormat="0" applyFont="0" applyAlignment="0" applyProtection="0"/>
    <xf numFmtId="0" fontId="4" fillId="40" borderId="1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4" fillId="11" borderId="15" applyNumberFormat="0">
      <protection locked="0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7">
    <xf numFmtId="0" fontId="0" fillId="0" borderId="0" xfId="0"/>
    <xf numFmtId="3" fontId="71" fillId="0" borderId="0" xfId="0" applyNumberFormat="1" applyFont="1"/>
    <xf numFmtId="0" fontId="72" fillId="0" borderId="64" xfId="0" applyFont="1" applyBorder="1" applyAlignment="1">
      <alignment vertical="center"/>
    </xf>
    <xf numFmtId="0" fontId="73" fillId="0" borderId="40" xfId="0" applyFont="1" applyBorder="1" applyAlignment="1">
      <alignment vertical="center"/>
    </xf>
    <xf numFmtId="0" fontId="73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0" fontId="72" fillId="0" borderId="37" xfId="0" applyFont="1" applyBorder="1" applyAlignment="1">
      <alignment horizontal="center" vertical="center"/>
    </xf>
    <xf numFmtId="0" fontId="74" fillId="0" borderId="0" xfId="0" applyFont="1"/>
    <xf numFmtId="202" fontId="73" fillId="0" borderId="0" xfId="0" applyNumberFormat="1" applyFont="1" applyAlignment="1">
      <alignment horizontal="right" vertical="center"/>
    </xf>
    <xf numFmtId="203" fontId="73" fillId="0" borderId="0" xfId="0" applyNumberFormat="1" applyFont="1" applyAlignment="1">
      <alignment horizontal="right" vertical="center"/>
    </xf>
    <xf numFmtId="202" fontId="72" fillId="0" borderId="0" xfId="0" applyNumberFormat="1" applyFont="1" applyAlignment="1">
      <alignment horizontal="right" vertical="center"/>
    </xf>
    <xf numFmtId="203" fontId="72" fillId="0" borderId="0" xfId="0" applyNumberFormat="1" applyFont="1" applyAlignment="1">
      <alignment horizontal="right" vertical="center"/>
    </xf>
    <xf numFmtId="0" fontId="75" fillId="0" borderId="0" xfId="0" applyFont="1"/>
    <xf numFmtId="0" fontId="76" fillId="0" borderId="0" xfId="0" applyFont="1" applyAlignment="1">
      <alignment horizontal="left" indent="2"/>
    </xf>
    <xf numFmtId="0" fontId="74" fillId="0" borderId="0" xfId="0" applyFont="1" applyAlignment="1">
      <alignment vertical="center"/>
    </xf>
    <xf numFmtId="0" fontId="73" fillId="0" borderId="0" xfId="0" applyFont="1"/>
    <xf numFmtId="3" fontId="73" fillId="0" borderId="0" xfId="0" applyNumberFormat="1" applyFont="1" applyAlignment="1">
      <alignment horizontal="right"/>
    </xf>
    <xf numFmtId="0" fontId="72" fillId="0" borderId="0" xfId="0" applyFont="1" applyAlignment="1">
      <alignment horizontal="center" vertical="center"/>
    </xf>
    <xf numFmtId="3" fontId="78" fillId="0" borderId="0" xfId="0" applyNumberFormat="1" applyFont="1" applyAlignment="1">
      <alignment horizontal="right" vertical="center"/>
    </xf>
    <xf numFmtId="0" fontId="72" fillId="0" borderId="37" xfId="0" applyFont="1" applyBorder="1" applyAlignment="1">
      <alignment vertical="center"/>
    </xf>
    <xf numFmtId="0" fontId="73" fillId="0" borderId="0" xfId="0" applyFont="1" applyAlignment="1">
      <alignment horizontal="right" vertical="center"/>
    </xf>
    <xf numFmtId="3" fontId="74" fillId="0" borderId="0" xfId="0" applyNumberFormat="1" applyFont="1"/>
    <xf numFmtId="3" fontId="73" fillId="0" borderId="0" xfId="0" applyNumberFormat="1" applyFont="1" applyAlignment="1">
      <alignment horizontal="right" vertical="center"/>
    </xf>
    <xf numFmtId="0" fontId="78" fillId="0" borderId="0" xfId="0" applyFont="1" applyAlignment="1">
      <alignment vertical="center"/>
    </xf>
    <xf numFmtId="202" fontId="74" fillId="0" borderId="0" xfId="0" applyNumberFormat="1" applyFont="1"/>
    <xf numFmtId="3" fontId="81" fillId="0" borderId="0" xfId="0" applyNumberFormat="1" applyFont="1" applyAlignment="1">
      <alignment horizontal="right" vertical="center"/>
    </xf>
    <xf numFmtId="0" fontId="76" fillId="0" borderId="0" xfId="1698" applyFont="1" applyAlignment="1">
      <alignment horizontal="left" indent="2"/>
    </xf>
    <xf numFmtId="0" fontId="74" fillId="0" borderId="0" xfId="1698" applyFont="1"/>
    <xf numFmtId="0" fontId="74" fillId="0" borderId="0" xfId="1698" applyFont="1" applyAlignment="1">
      <alignment vertical="center"/>
    </xf>
    <xf numFmtId="3" fontId="74" fillId="0" borderId="0" xfId="1698" applyNumberFormat="1" applyFont="1" applyAlignment="1">
      <alignment vertical="center"/>
    </xf>
    <xf numFmtId="0" fontId="72" fillId="0" borderId="0" xfId="0" applyFont="1" applyAlignment="1">
      <alignment horizontal="center"/>
    </xf>
    <xf numFmtId="0" fontId="72" fillId="0" borderId="37" xfId="0" applyFont="1" applyBorder="1" applyAlignment="1">
      <alignment horizontal="left"/>
    </xf>
    <xf numFmtId="0" fontId="72" fillId="0" borderId="37" xfId="0" applyFont="1" applyBorder="1" applyAlignment="1">
      <alignment horizontal="center"/>
    </xf>
    <xf numFmtId="0" fontId="73" fillId="0" borderId="0" xfId="0" applyFont="1" applyAlignment="1">
      <alignment horizontal="center" vertical="center"/>
    </xf>
    <xf numFmtId="0" fontId="73" fillId="0" borderId="37" xfId="0" applyFont="1" applyBorder="1" applyAlignment="1">
      <alignment horizontal="center" vertical="center"/>
    </xf>
    <xf numFmtId="0" fontId="72" fillId="0" borderId="40" xfId="0" applyFont="1" applyBorder="1" applyAlignment="1">
      <alignment vertical="center"/>
    </xf>
    <xf numFmtId="0" fontId="83" fillId="0" borderId="0" xfId="0" applyFont="1"/>
    <xf numFmtId="3" fontId="83" fillId="0" borderId="0" xfId="0" applyNumberFormat="1" applyFont="1"/>
    <xf numFmtId="9" fontId="74" fillId="0" borderId="0" xfId="950" applyFont="1"/>
    <xf numFmtId="9" fontId="75" fillId="0" borderId="0" xfId="950" applyFont="1"/>
    <xf numFmtId="203" fontId="73" fillId="0" borderId="0" xfId="0" applyNumberFormat="1" applyFont="1" applyAlignment="1">
      <alignment horizontal="center" vertical="center"/>
    </xf>
    <xf numFmtId="0" fontId="72" fillId="0" borderId="37" xfId="0" applyFont="1" applyBorder="1"/>
    <xf numFmtId="187" fontId="73" fillId="0" borderId="0" xfId="0" applyNumberFormat="1" applyFont="1"/>
    <xf numFmtId="2" fontId="73" fillId="0" borderId="0" xfId="0" applyNumberFormat="1" applyFont="1" applyAlignment="1">
      <alignment horizontal="right" vertical="center"/>
    </xf>
    <xf numFmtId="2" fontId="73" fillId="0" borderId="0" xfId="0" applyNumberFormat="1" applyFont="1"/>
    <xf numFmtId="2" fontId="73" fillId="0" borderId="0" xfId="0" applyNumberFormat="1" applyFont="1" applyAlignment="1">
      <alignment vertical="center"/>
    </xf>
    <xf numFmtId="0" fontId="73" fillId="0" borderId="0" xfId="0" applyFont="1" applyAlignment="1">
      <alignment vertical="center" wrapText="1"/>
    </xf>
    <xf numFmtId="0" fontId="81" fillId="0" borderId="64" xfId="0" applyFont="1" applyBorder="1" applyAlignment="1">
      <alignment vertical="center"/>
    </xf>
    <xf numFmtId="0" fontId="81" fillId="0" borderId="0" xfId="0" applyFont="1" applyAlignment="1">
      <alignment vertical="center"/>
    </xf>
    <xf numFmtId="0" fontId="78" fillId="0" borderId="0" xfId="0" applyFont="1" applyAlignment="1">
      <alignment horizontal="right" vertical="center"/>
    </xf>
    <xf numFmtId="14" fontId="87" fillId="73" borderId="50" xfId="904" applyNumberFormat="1" applyFont="1" applyFill="1" applyBorder="1" applyAlignment="1">
      <alignment horizontal="center" vertical="center"/>
    </xf>
    <xf numFmtId="14" fontId="87" fillId="73" borderId="51" xfId="904" applyNumberFormat="1" applyFont="1" applyFill="1" applyBorder="1" applyAlignment="1">
      <alignment horizontal="center" vertical="center"/>
    </xf>
    <xf numFmtId="204" fontId="87" fillId="73" borderId="56" xfId="904" applyNumberFormat="1" applyFont="1" applyFill="1" applyBorder="1" applyAlignment="1">
      <alignment horizontal="center" vertical="top"/>
    </xf>
    <xf numFmtId="204" fontId="88" fillId="0" borderId="1" xfId="904" quotePrefix="1" applyNumberFormat="1" applyFont="1" applyBorder="1" applyAlignment="1">
      <alignment horizontal="center" vertical="center"/>
    </xf>
    <xf numFmtId="204" fontId="88" fillId="0" borderId="1" xfId="904" applyNumberFormat="1" applyFont="1" applyBorder="1" applyAlignment="1">
      <alignment vertical="center"/>
    </xf>
    <xf numFmtId="204" fontId="88" fillId="0" borderId="46" xfId="904" applyNumberFormat="1" applyFont="1" applyBorder="1" applyAlignment="1">
      <alignment vertical="center"/>
    </xf>
    <xf numFmtId="204" fontId="88" fillId="0" borderId="1" xfId="904" applyNumberFormat="1" applyFont="1" applyBorder="1" applyAlignment="1">
      <alignment horizontal="center" vertical="center"/>
    </xf>
    <xf numFmtId="204" fontId="87" fillId="73" borderId="55" xfId="904" applyNumberFormat="1" applyFont="1" applyFill="1" applyBorder="1" applyAlignment="1">
      <alignment horizontal="left" vertical="center" wrapText="1"/>
    </xf>
    <xf numFmtId="204" fontId="87" fillId="96" borderId="55" xfId="904" applyNumberFormat="1" applyFont="1" applyFill="1" applyBorder="1" applyAlignment="1">
      <alignment horizontal="left" vertical="center"/>
    </xf>
    <xf numFmtId="204" fontId="87" fillId="0" borderId="1" xfId="904" applyNumberFormat="1" applyFont="1" applyBorder="1" applyAlignment="1">
      <alignment horizontal="center" vertical="center"/>
    </xf>
    <xf numFmtId="204" fontId="87" fillId="73" borderId="47" xfId="904" applyNumberFormat="1" applyFont="1" applyFill="1" applyBorder="1" applyAlignment="1">
      <alignment horizontal="center" vertical="center"/>
    </xf>
    <xf numFmtId="204" fontId="87" fillId="0" borderId="59" xfId="904" applyNumberFormat="1" applyFont="1" applyBorder="1" applyAlignment="1">
      <alignment vertical="center"/>
    </xf>
    <xf numFmtId="204" fontId="88" fillId="0" borderId="55" xfId="904" applyNumberFormat="1" applyFont="1" applyBorder="1" applyAlignment="1">
      <alignment horizontal="left" vertical="center"/>
    </xf>
    <xf numFmtId="204" fontId="88" fillId="73" borderId="1" xfId="904" applyNumberFormat="1" applyFont="1" applyFill="1" applyBorder="1" applyAlignment="1">
      <alignment horizontal="center" vertical="center"/>
    </xf>
    <xf numFmtId="204" fontId="88" fillId="0" borderId="55" xfId="904" applyNumberFormat="1" applyFont="1" applyBorder="1" applyAlignment="1">
      <alignment vertical="center"/>
    </xf>
    <xf numFmtId="49" fontId="88" fillId="0" borderId="1" xfId="904" applyNumberFormat="1" applyFont="1" applyBorder="1" applyAlignment="1">
      <alignment horizontal="center" vertical="center"/>
    </xf>
    <xf numFmtId="0" fontId="88" fillId="0" borderId="55" xfId="904" applyFont="1" applyBorder="1" applyAlignment="1">
      <alignment vertical="center"/>
    </xf>
    <xf numFmtId="3" fontId="88" fillId="0" borderId="1" xfId="904" applyNumberFormat="1" applyFont="1" applyBorder="1" applyAlignment="1">
      <alignment vertical="center"/>
    </xf>
    <xf numFmtId="0" fontId="87" fillId="73" borderId="55" xfId="904" applyFont="1" applyFill="1" applyBorder="1" applyAlignment="1">
      <alignment vertical="center"/>
    </xf>
    <xf numFmtId="0" fontId="87" fillId="73" borderId="1" xfId="904" applyFont="1" applyFill="1" applyBorder="1" applyAlignment="1">
      <alignment horizontal="center" vertical="center"/>
    </xf>
    <xf numFmtId="3" fontId="87" fillId="73" borderId="1" xfId="904" applyNumberFormat="1" applyFont="1" applyFill="1" applyBorder="1" applyAlignment="1">
      <alignment vertical="center"/>
    </xf>
    <xf numFmtId="0" fontId="87" fillId="73" borderId="1" xfId="904" applyFont="1" applyFill="1" applyBorder="1" applyAlignment="1">
      <alignment horizontal="left" vertical="center" indent="3"/>
    </xf>
    <xf numFmtId="0" fontId="88" fillId="0" borderId="1" xfId="904" applyFont="1" applyBorder="1" applyAlignment="1">
      <alignment horizontal="center" vertical="center"/>
    </xf>
    <xf numFmtId="0" fontId="87" fillId="0" borderId="55" xfId="904" applyFont="1" applyBorder="1" applyAlignment="1">
      <alignment vertical="center" wrapText="1"/>
    </xf>
    <xf numFmtId="0" fontId="88" fillId="0" borderId="1" xfId="904" applyFont="1" applyBorder="1" applyAlignment="1">
      <alignment horizontal="left" vertical="center" indent="3"/>
    </xf>
    <xf numFmtId="3" fontId="88" fillId="0" borderId="1" xfId="904" applyNumberFormat="1" applyFont="1" applyBorder="1" applyAlignment="1">
      <alignment horizontal="center" vertical="center"/>
    </xf>
    <xf numFmtId="0" fontId="87" fillId="73" borderId="55" xfId="904" applyFont="1" applyFill="1" applyBorder="1" applyAlignment="1">
      <alignment vertical="center" wrapText="1"/>
    </xf>
    <xf numFmtId="3" fontId="87" fillId="98" borderId="1" xfId="904" applyNumberFormat="1" applyFont="1" applyFill="1" applyBorder="1" applyAlignment="1">
      <alignment vertical="center"/>
    </xf>
    <xf numFmtId="0" fontId="87" fillId="98" borderId="55" xfId="904" applyFont="1" applyFill="1" applyBorder="1" applyAlignment="1">
      <alignment vertical="center"/>
    </xf>
    <xf numFmtId="0" fontId="87" fillId="98" borderId="1" xfId="904" applyFont="1" applyFill="1" applyBorder="1" applyAlignment="1">
      <alignment horizontal="left" vertical="center" indent="3"/>
    </xf>
    <xf numFmtId="0" fontId="87" fillId="0" borderId="55" xfId="904" applyFont="1" applyBorder="1" applyAlignment="1">
      <alignment vertical="center"/>
    </xf>
    <xf numFmtId="3" fontId="88" fillId="0" borderId="0" xfId="904" applyNumberFormat="1" applyFont="1"/>
    <xf numFmtId="0" fontId="88" fillId="0" borderId="0" xfId="904" applyFont="1"/>
    <xf numFmtId="0" fontId="87" fillId="73" borderId="58" xfId="904" applyFont="1" applyFill="1" applyBorder="1" applyAlignment="1">
      <alignment vertical="center"/>
    </xf>
    <xf numFmtId="0" fontId="88" fillId="73" borderId="47" xfId="904" applyFont="1" applyFill="1" applyBorder="1" applyAlignment="1">
      <alignment horizontal="center" vertical="center"/>
    </xf>
    <xf numFmtId="200" fontId="87" fillId="73" borderId="47" xfId="904" applyNumberFormat="1" applyFont="1" applyFill="1" applyBorder="1" applyAlignment="1">
      <alignment vertical="center"/>
    </xf>
    <xf numFmtId="204" fontId="88" fillId="0" borderId="42" xfId="0" applyNumberFormat="1" applyFont="1" applyBorder="1" applyAlignment="1">
      <alignment horizontal="left" vertical="center" wrapText="1"/>
    </xf>
    <xf numFmtId="204" fontId="88" fillId="0" borderId="43" xfId="0" applyNumberFormat="1" applyFont="1" applyBorder="1" applyAlignment="1">
      <alignment horizontal="center" vertical="center" wrapText="1"/>
    </xf>
    <xf numFmtId="204" fontId="87" fillId="0" borderId="42" xfId="0" applyNumberFormat="1" applyFont="1" applyBorder="1" applyAlignment="1">
      <alignment horizontal="left" vertical="center" wrapText="1"/>
    </xf>
    <xf numFmtId="204" fontId="87" fillId="0" borderId="43" xfId="0" applyNumberFormat="1" applyFont="1" applyBorder="1" applyAlignment="1">
      <alignment horizontal="center" vertical="center" wrapText="1"/>
    </xf>
    <xf numFmtId="0" fontId="88" fillId="0" borderId="0" xfId="903" applyFont="1"/>
    <xf numFmtId="0" fontId="88" fillId="0" borderId="0" xfId="0" applyFont="1"/>
    <xf numFmtId="0" fontId="87" fillId="97" borderId="41" xfId="0" applyFont="1" applyFill="1" applyBorder="1" applyAlignment="1">
      <alignment horizontal="center" vertical="center"/>
    </xf>
    <xf numFmtId="0" fontId="87" fillId="97" borderId="45" xfId="0" applyFont="1" applyFill="1" applyBorder="1" applyAlignment="1">
      <alignment horizontal="center" vertical="center"/>
    </xf>
    <xf numFmtId="0" fontId="88" fillId="0" borderId="43" xfId="0" applyFont="1" applyBorder="1" applyAlignment="1">
      <alignment horizontal="center" vertical="center" wrapText="1"/>
    </xf>
    <xf numFmtId="3" fontId="88" fillId="0" borderId="0" xfId="0" applyNumberFormat="1" applyFont="1" applyAlignment="1">
      <alignment wrapText="1"/>
    </xf>
    <xf numFmtId="0" fontId="88" fillId="0" borderId="0" xfId="0" applyFont="1" applyAlignment="1">
      <alignment wrapText="1"/>
    </xf>
    <xf numFmtId="0" fontId="88" fillId="0" borderId="42" xfId="0" applyFont="1" applyBorder="1" applyAlignment="1">
      <alignment horizontal="left" vertical="center" wrapText="1"/>
    </xf>
    <xf numFmtId="0" fontId="87" fillId="96" borderId="42" xfId="0" applyFont="1" applyFill="1" applyBorder="1" applyAlignment="1">
      <alignment horizontal="left" vertical="center" wrapText="1"/>
    </xf>
    <xf numFmtId="0" fontId="88" fillId="96" borderId="43" xfId="0" applyFont="1" applyFill="1" applyBorder="1" applyAlignment="1">
      <alignment horizontal="center" vertical="center" wrapText="1"/>
    </xf>
    <xf numFmtId="0" fontId="87" fillId="96" borderId="43" xfId="0" applyFont="1" applyFill="1" applyBorder="1" applyAlignment="1">
      <alignment horizontal="center" vertical="center" wrapText="1"/>
    </xf>
    <xf numFmtId="0" fontId="87" fillId="96" borderId="42" xfId="0" applyFont="1" applyFill="1" applyBorder="1" applyAlignment="1">
      <alignment vertical="center" wrapText="1"/>
    </xf>
    <xf numFmtId="0" fontId="88" fillId="96" borderId="42" xfId="0" applyFont="1" applyFill="1" applyBorder="1" applyAlignment="1">
      <alignment horizontal="left" vertical="center" wrapText="1"/>
    </xf>
    <xf numFmtId="3" fontId="70" fillId="0" borderId="0" xfId="0" applyNumberFormat="1" applyFont="1" applyAlignment="1">
      <alignment wrapText="1"/>
    </xf>
    <xf numFmtId="0" fontId="87" fillId="96" borderId="52" xfId="0" applyFont="1" applyFill="1" applyBorder="1" applyAlignment="1">
      <alignment horizontal="left" vertical="center" wrapText="1"/>
    </xf>
    <xf numFmtId="0" fontId="87" fillId="96" borderId="49" xfId="0" applyFont="1" applyFill="1" applyBorder="1" applyAlignment="1">
      <alignment horizontal="center" vertical="center" wrapText="1"/>
    </xf>
    <xf numFmtId="0" fontId="88" fillId="0" borderId="0" xfId="903" applyFont="1" applyAlignment="1">
      <alignment horizontal="center"/>
    </xf>
    <xf numFmtId="0" fontId="87" fillId="0" borderId="0" xfId="904" applyFont="1"/>
    <xf numFmtId="3" fontId="88" fillId="0" borderId="0" xfId="903" applyNumberFormat="1" applyFont="1"/>
    <xf numFmtId="192" fontId="87" fillId="0" borderId="0" xfId="904" applyNumberFormat="1" applyFont="1" applyAlignment="1">
      <alignment horizontal="center" vertical="center"/>
    </xf>
    <xf numFmtId="0" fontId="88" fillId="0" borderId="0" xfId="904" applyFont="1" applyAlignment="1">
      <alignment vertical="center"/>
    </xf>
    <xf numFmtId="3" fontId="88" fillId="0" borderId="0" xfId="904" applyNumberFormat="1" applyFont="1" applyAlignment="1">
      <alignment vertical="center"/>
    </xf>
    <xf numFmtId="3" fontId="87" fillId="0" borderId="0" xfId="904" applyNumberFormat="1" applyFont="1" applyAlignment="1">
      <alignment vertical="center"/>
    </xf>
    <xf numFmtId="3" fontId="87" fillId="0" borderId="0" xfId="904" applyNumberFormat="1" applyFont="1" applyAlignment="1">
      <alignment horizontal="right" vertical="center"/>
    </xf>
    <xf numFmtId="3" fontId="88" fillId="0" borderId="0" xfId="0" applyNumberFormat="1" applyFont="1" applyAlignment="1">
      <alignment vertical="center"/>
    </xf>
    <xf numFmtId="0" fontId="92" fillId="0" borderId="0" xfId="0" applyFont="1"/>
    <xf numFmtId="0" fontId="93" fillId="0" borderId="0" xfId="0" applyFont="1"/>
    <xf numFmtId="0" fontId="94" fillId="0" borderId="0" xfId="0" applyFont="1"/>
    <xf numFmtId="185" fontId="93" fillId="0" borderId="0" xfId="0" applyNumberFormat="1" applyFont="1"/>
    <xf numFmtId="179" fontId="93" fillId="0" borderId="0" xfId="0" applyNumberFormat="1" applyFont="1"/>
    <xf numFmtId="171" fontId="93" fillId="0" borderId="0" xfId="0" applyNumberFormat="1" applyFont="1"/>
    <xf numFmtId="170" fontId="93" fillId="0" borderId="0" xfId="836" quotePrefix="1" applyNumberFormat="1" applyFont="1" applyBorder="1" applyAlignment="1">
      <alignment horizontal="center"/>
    </xf>
    <xf numFmtId="0" fontId="95" fillId="93" borderId="27" xfId="0" applyFont="1" applyFill="1" applyBorder="1"/>
    <xf numFmtId="0" fontId="96" fillId="93" borderId="28" xfId="0" applyFont="1" applyFill="1" applyBorder="1"/>
    <xf numFmtId="49" fontId="95" fillId="93" borderId="28" xfId="836" applyNumberFormat="1" applyFont="1" applyFill="1" applyBorder="1" applyAlignment="1">
      <alignment horizontal="center"/>
    </xf>
    <xf numFmtId="170" fontId="92" fillId="0" borderId="0" xfId="836" quotePrefix="1" applyNumberFormat="1" applyFont="1" applyFill="1" applyAlignment="1">
      <alignment horizontal="center"/>
    </xf>
    <xf numFmtId="170" fontId="92" fillId="0" borderId="0" xfId="836" quotePrefix="1" applyNumberFormat="1" applyFont="1" applyFill="1" applyBorder="1" applyAlignment="1">
      <alignment horizontal="center"/>
    </xf>
    <xf numFmtId="0" fontId="93" fillId="0" borderId="0" xfId="0" applyFont="1" applyAlignment="1">
      <alignment horizontal="center"/>
    </xf>
    <xf numFmtId="14" fontId="93" fillId="0" borderId="0" xfId="0" applyNumberFormat="1" applyFont="1" applyAlignment="1">
      <alignment horizontal="center"/>
    </xf>
    <xf numFmtId="0" fontId="92" fillId="0" borderId="30" xfId="0" applyFont="1" applyBorder="1"/>
    <xf numFmtId="0" fontId="93" fillId="0" borderId="31" xfId="0" applyFont="1" applyBorder="1"/>
    <xf numFmtId="0" fontId="93" fillId="0" borderId="62" xfId="0" applyFont="1" applyBorder="1"/>
    <xf numFmtId="0" fontId="93" fillId="0" borderId="32" xfId="0" applyFont="1" applyBorder="1"/>
    <xf numFmtId="0" fontId="92" fillId="0" borderId="24" xfId="0" applyFont="1" applyBorder="1"/>
    <xf numFmtId="184" fontId="94" fillId="0" borderId="0" xfId="0" applyNumberFormat="1" applyFont="1"/>
    <xf numFmtId="0" fontId="93" fillId="0" borderId="30" xfId="0" applyFont="1" applyBorder="1"/>
    <xf numFmtId="0" fontId="93" fillId="0" borderId="31" xfId="0" applyFont="1" applyBorder="1" applyAlignment="1">
      <alignment horizontal="center"/>
    </xf>
    <xf numFmtId="170" fontId="93" fillId="0" borderId="31" xfId="836" applyNumberFormat="1" applyFont="1" applyBorder="1"/>
    <xf numFmtId="170" fontId="93" fillId="0" borderId="62" xfId="836" applyNumberFormat="1" applyFont="1" applyBorder="1"/>
    <xf numFmtId="180" fontId="93" fillId="0" borderId="0" xfId="836" applyNumberFormat="1" applyFont="1"/>
    <xf numFmtId="0" fontId="93" fillId="0" borderId="25" xfId="0" applyFont="1" applyBorder="1"/>
    <xf numFmtId="171" fontId="93" fillId="0" borderId="25" xfId="0" applyNumberFormat="1" applyFont="1" applyBorder="1"/>
    <xf numFmtId="2" fontId="97" fillId="0" borderId="0" xfId="0" applyNumberFormat="1" applyFont="1"/>
    <xf numFmtId="2" fontId="92" fillId="0" borderId="0" xfId="0" applyNumberFormat="1" applyFont="1"/>
    <xf numFmtId="189" fontId="93" fillId="0" borderId="0" xfId="950" applyNumberFormat="1" applyFont="1"/>
    <xf numFmtId="189" fontId="94" fillId="0" borderId="0" xfId="950" applyNumberFormat="1" applyFont="1" applyFill="1" applyBorder="1"/>
    <xf numFmtId="0" fontId="95" fillId="93" borderId="30" xfId="0" applyFont="1" applyFill="1" applyBorder="1"/>
    <xf numFmtId="0" fontId="96" fillId="93" borderId="31" xfId="0" applyFont="1" applyFill="1" applyBorder="1"/>
    <xf numFmtId="170" fontId="95" fillId="93" borderId="31" xfId="836" applyNumberFormat="1" applyFont="1" applyFill="1" applyBorder="1"/>
    <xf numFmtId="170" fontId="95" fillId="93" borderId="62" xfId="836" applyNumberFormat="1" applyFont="1" applyFill="1" applyBorder="1"/>
    <xf numFmtId="170" fontId="93" fillId="0" borderId="0" xfId="836" applyNumberFormat="1" applyFont="1"/>
    <xf numFmtId="170" fontId="92" fillId="0" borderId="0" xfId="836" applyNumberFormat="1" applyFont="1"/>
    <xf numFmtId="2" fontId="93" fillId="0" borderId="0" xfId="0" applyNumberFormat="1" applyFont="1"/>
    <xf numFmtId="0" fontId="95" fillId="93" borderId="33" xfId="0" applyFont="1" applyFill="1" applyBorder="1"/>
    <xf numFmtId="0" fontId="96" fillId="93" borderId="34" xfId="0" applyFont="1" applyFill="1" applyBorder="1"/>
    <xf numFmtId="170" fontId="95" fillId="93" borderId="34" xfId="836" applyNumberFormat="1" applyFont="1" applyFill="1" applyBorder="1"/>
    <xf numFmtId="170" fontId="95" fillId="93" borderId="63" xfId="836" applyNumberFormat="1" applyFont="1" applyFill="1" applyBorder="1"/>
    <xf numFmtId="2" fontId="97" fillId="0" borderId="0" xfId="950" applyNumberFormat="1" applyFont="1" applyFill="1"/>
    <xf numFmtId="10" fontId="92" fillId="0" borderId="0" xfId="0" applyNumberFormat="1" applyFont="1"/>
    <xf numFmtId="0" fontId="93" fillId="0" borderId="36" xfId="0" applyFont="1" applyBorder="1"/>
    <xf numFmtId="201" fontId="71" fillId="0" borderId="0" xfId="836" applyNumberFormat="1" applyFont="1" applyBorder="1"/>
    <xf numFmtId="49" fontId="95" fillId="93" borderId="28" xfId="836" quotePrefix="1" applyNumberFormat="1" applyFont="1" applyFill="1" applyBorder="1" applyAlignment="1">
      <alignment horizontal="center"/>
    </xf>
    <xf numFmtId="0" fontId="92" fillId="0" borderId="31" xfId="0" applyFont="1" applyBorder="1" applyAlignment="1">
      <alignment horizontal="center"/>
    </xf>
    <xf numFmtId="187" fontId="93" fillId="0" borderId="31" xfId="836" applyNumberFormat="1" applyFont="1" applyFill="1" applyBorder="1"/>
    <xf numFmtId="187" fontId="93" fillId="0" borderId="32" xfId="836" applyNumberFormat="1" applyFont="1" applyFill="1" applyBorder="1"/>
    <xf numFmtId="0" fontId="98" fillId="0" borderId="0" xfId="0" applyFont="1"/>
    <xf numFmtId="170" fontId="94" fillId="0" borderId="0" xfId="0" applyNumberFormat="1" applyFont="1"/>
    <xf numFmtId="187" fontId="92" fillId="0" borderId="31" xfId="836" applyNumberFormat="1" applyFont="1" applyFill="1" applyBorder="1"/>
    <xf numFmtId="177" fontId="94" fillId="0" borderId="0" xfId="836" applyNumberFormat="1" applyFont="1" applyFill="1" applyBorder="1"/>
    <xf numFmtId="172" fontId="92" fillId="0" borderId="0" xfId="0" applyNumberFormat="1" applyFont="1"/>
    <xf numFmtId="174" fontId="93" fillId="0" borderId="0" xfId="0" applyNumberFormat="1" applyFont="1"/>
    <xf numFmtId="189" fontId="93" fillId="0" borderId="0" xfId="950" applyNumberFormat="1" applyFont="1" applyFill="1" applyBorder="1"/>
    <xf numFmtId="0" fontId="93" fillId="0" borderId="33" xfId="0" applyFont="1" applyBorder="1"/>
    <xf numFmtId="0" fontId="93" fillId="0" borderId="34" xfId="0" applyFont="1" applyBorder="1" applyAlignment="1">
      <alignment horizontal="center"/>
    </xf>
    <xf numFmtId="187" fontId="93" fillId="0" borderId="34" xfId="836" applyNumberFormat="1" applyFont="1" applyFill="1" applyBorder="1"/>
    <xf numFmtId="0" fontId="99" fillId="0" borderId="24" xfId="0" applyFont="1" applyBorder="1"/>
    <xf numFmtId="0" fontId="100" fillId="0" borderId="0" xfId="0" applyFont="1"/>
    <xf numFmtId="171" fontId="100" fillId="0" borderId="0" xfId="0" applyNumberFormat="1" applyFont="1"/>
    <xf numFmtId="170" fontId="100" fillId="0" borderId="0" xfId="836" applyNumberFormat="1" applyFont="1"/>
    <xf numFmtId="187" fontId="93" fillId="0" borderId="0" xfId="836" applyNumberFormat="1" applyFont="1" applyBorder="1"/>
    <xf numFmtId="189" fontId="93" fillId="0" borderId="0" xfId="950" applyNumberFormat="1" applyFont="1" applyBorder="1"/>
    <xf numFmtId="190" fontId="100" fillId="0" borderId="0" xfId="0" applyNumberFormat="1" applyFont="1"/>
    <xf numFmtId="177" fontId="93" fillId="0" borderId="0" xfId="836" applyNumberFormat="1" applyFont="1"/>
    <xf numFmtId="187" fontId="93" fillId="0" borderId="31" xfId="836" applyNumberFormat="1" applyFont="1" applyBorder="1"/>
    <xf numFmtId="183" fontId="93" fillId="0" borderId="0" xfId="0" applyNumberFormat="1" applyFont="1"/>
    <xf numFmtId="188" fontId="93" fillId="0" borderId="0" xfId="950" applyNumberFormat="1" applyFont="1"/>
    <xf numFmtId="175" fontId="92" fillId="0" borderId="0" xfId="0" applyNumberFormat="1" applyFont="1"/>
    <xf numFmtId="187" fontId="92" fillId="0" borderId="31" xfId="836" applyNumberFormat="1" applyFont="1" applyBorder="1"/>
    <xf numFmtId="0" fontId="99" fillId="0" borderId="0" xfId="0" applyFont="1"/>
    <xf numFmtId="171" fontId="99" fillId="0" borderId="0" xfId="0" applyNumberFormat="1" applyFont="1"/>
    <xf numFmtId="2" fontId="100" fillId="0" borderId="0" xfId="0" applyNumberFormat="1" applyFont="1"/>
    <xf numFmtId="10" fontId="100" fillId="0" borderId="0" xfId="950" applyNumberFormat="1" applyFont="1"/>
    <xf numFmtId="0" fontId="96" fillId="93" borderId="34" xfId="0" applyFont="1" applyFill="1" applyBorder="1" applyAlignment="1">
      <alignment horizontal="center"/>
    </xf>
    <xf numFmtId="187" fontId="95" fillId="93" borderId="34" xfId="836" applyNumberFormat="1" applyFont="1" applyFill="1" applyBorder="1"/>
    <xf numFmtId="187" fontId="95" fillId="93" borderId="35" xfId="836" applyNumberFormat="1" applyFont="1" applyFill="1" applyBorder="1"/>
    <xf numFmtId="174" fontId="92" fillId="0" borderId="0" xfId="0" applyNumberFormat="1" applyFont="1"/>
    <xf numFmtId="2" fontId="100" fillId="0" borderId="0" xfId="950" applyNumberFormat="1" applyFont="1" applyFill="1"/>
    <xf numFmtId="10" fontId="100" fillId="0" borderId="0" xfId="950" applyNumberFormat="1" applyFont="1" applyFill="1" applyBorder="1"/>
    <xf numFmtId="0" fontId="93" fillId="94" borderId="27" xfId="0" applyFont="1" applyFill="1" applyBorder="1"/>
    <xf numFmtId="0" fontId="93" fillId="94" borderId="30" xfId="0" applyFont="1" applyFill="1" applyBorder="1"/>
    <xf numFmtId="49" fontId="93" fillId="94" borderId="31" xfId="836" applyNumberFormat="1" applyFont="1" applyFill="1" applyBorder="1" applyAlignment="1">
      <alignment horizontal="left"/>
    </xf>
    <xf numFmtId="170" fontId="93" fillId="94" borderId="32" xfId="836" applyNumberFormat="1" applyFont="1" applyFill="1" applyBorder="1"/>
    <xf numFmtId="171" fontId="92" fillId="0" borderId="0" xfId="0" applyNumberFormat="1" applyFont="1"/>
    <xf numFmtId="187" fontId="93" fillId="94" borderId="32" xfId="836" applyNumberFormat="1" applyFont="1" applyFill="1" applyBorder="1"/>
    <xf numFmtId="10" fontId="93" fillId="0" borderId="0" xfId="950" applyNumberFormat="1" applyFont="1" applyFill="1"/>
    <xf numFmtId="0" fontId="93" fillId="94" borderId="33" xfId="0" applyFont="1" applyFill="1" applyBorder="1"/>
    <xf numFmtId="49" fontId="93" fillId="94" borderId="34" xfId="836" applyNumberFormat="1" applyFont="1" applyFill="1" applyBorder="1" applyAlignment="1">
      <alignment horizontal="left"/>
    </xf>
    <xf numFmtId="187" fontId="93" fillId="94" borderId="35" xfId="836" applyNumberFormat="1" applyFont="1" applyFill="1" applyBorder="1"/>
    <xf numFmtId="10" fontId="93" fillId="0" borderId="0" xfId="950" applyNumberFormat="1" applyFont="1"/>
    <xf numFmtId="10" fontId="94" fillId="0" borderId="0" xfId="0" applyNumberFormat="1" applyFont="1"/>
    <xf numFmtId="170" fontId="93" fillId="0" borderId="0" xfId="0" applyNumberFormat="1" applyFont="1"/>
    <xf numFmtId="171" fontId="94" fillId="0" borderId="0" xfId="0" applyNumberFormat="1" applyFont="1"/>
    <xf numFmtId="184" fontId="92" fillId="0" borderId="0" xfId="0" applyNumberFormat="1" applyFont="1"/>
    <xf numFmtId="171" fontId="93" fillId="95" borderId="0" xfId="0" applyNumberFormat="1" applyFont="1" applyFill="1"/>
    <xf numFmtId="170" fontId="93" fillId="0" borderId="0" xfId="828" applyNumberFormat="1" applyFont="1"/>
    <xf numFmtId="177" fontId="93" fillId="0" borderId="0" xfId="836" applyNumberFormat="1" applyFont="1" applyFill="1"/>
    <xf numFmtId="173" fontId="93" fillId="0" borderId="25" xfId="0" applyNumberFormat="1" applyFont="1" applyBorder="1"/>
    <xf numFmtId="178" fontId="93" fillId="0" borderId="25" xfId="836" applyNumberFormat="1" applyFont="1" applyBorder="1"/>
    <xf numFmtId="191" fontId="93" fillId="0" borderId="0" xfId="0" applyNumberFormat="1" applyFont="1"/>
    <xf numFmtId="4" fontId="93" fillId="95" borderId="0" xfId="0" applyNumberFormat="1" applyFont="1" applyFill="1"/>
    <xf numFmtId="173" fontId="93" fillId="0" borderId="0" xfId="0" applyNumberFormat="1" applyFont="1"/>
    <xf numFmtId="186" fontId="93" fillId="0" borderId="0" xfId="0" applyNumberFormat="1" applyFont="1"/>
    <xf numFmtId="10" fontId="101" fillId="0" borderId="0" xfId="0" applyNumberFormat="1" applyFont="1"/>
    <xf numFmtId="0" fontId="102" fillId="0" borderId="0" xfId="0" applyFont="1"/>
    <xf numFmtId="0" fontId="103" fillId="0" borderId="0" xfId="0" applyFont="1"/>
    <xf numFmtId="171" fontId="103" fillId="0" borderId="0" xfId="0" applyNumberFormat="1" applyFont="1"/>
    <xf numFmtId="170" fontId="93" fillId="0" borderId="0" xfId="836" applyNumberFormat="1" applyFont="1" applyFill="1" applyBorder="1"/>
    <xf numFmtId="181" fontId="94" fillId="0" borderId="0" xfId="0" applyNumberFormat="1" applyFont="1"/>
    <xf numFmtId="170" fontId="93" fillId="0" borderId="0" xfId="836" applyNumberFormat="1" applyFont="1" applyBorder="1"/>
    <xf numFmtId="2" fontId="103" fillId="0" borderId="0" xfId="0" applyNumberFormat="1" applyFont="1"/>
    <xf numFmtId="10" fontId="93" fillId="0" borderId="0" xfId="950" applyNumberFormat="1" applyFont="1" applyBorder="1"/>
    <xf numFmtId="10" fontId="94" fillId="0" borderId="0" xfId="950" applyNumberFormat="1" applyFont="1" applyFill="1" applyBorder="1"/>
    <xf numFmtId="10" fontId="103" fillId="0" borderId="0" xfId="0" applyNumberFormat="1" applyFont="1"/>
    <xf numFmtId="0" fontId="103" fillId="0" borderId="0" xfId="0" quotePrefix="1" applyFont="1"/>
    <xf numFmtId="176" fontId="92" fillId="0" borderId="0" xfId="0" applyNumberFormat="1" applyFont="1"/>
    <xf numFmtId="182" fontId="93" fillId="0" borderId="0" xfId="0" applyNumberFormat="1" applyFont="1"/>
    <xf numFmtId="10" fontId="93" fillId="0" borderId="0" xfId="0" applyNumberFormat="1" applyFont="1"/>
    <xf numFmtId="199" fontId="93" fillId="0" borderId="0" xfId="828" applyNumberFormat="1" applyFont="1"/>
    <xf numFmtId="4" fontId="93" fillId="0" borderId="0" xfId="0" applyNumberFormat="1" applyFont="1"/>
    <xf numFmtId="0" fontId="81" fillId="0" borderId="37" xfId="0" applyFont="1" applyBorder="1" applyAlignment="1">
      <alignment horizontal="center"/>
    </xf>
    <xf numFmtId="204" fontId="72" fillId="0" borderId="0" xfId="0" applyNumberFormat="1" applyFont="1" applyAlignment="1">
      <alignment horizontal="right" vertical="center"/>
    </xf>
    <xf numFmtId="204" fontId="73" fillId="0" borderId="0" xfId="0" applyNumberFormat="1" applyFont="1" applyAlignment="1">
      <alignment horizontal="right" vertical="center"/>
    </xf>
    <xf numFmtId="0" fontId="87" fillId="0" borderId="42" xfId="0" applyFont="1" applyBorder="1" applyAlignment="1">
      <alignment horizontal="left" vertical="center" wrapText="1"/>
    </xf>
    <xf numFmtId="192" fontId="87" fillId="73" borderId="70" xfId="904" applyNumberFormat="1" applyFont="1" applyFill="1" applyBorder="1" applyAlignment="1">
      <alignment horizontal="center" vertical="center"/>
    </xf>
    <xf numFmtId="204" fontId="88" fillId="0" borderId="0" xfId="0" applyNumberFormat="1" applyFont="1" applyAlignment="1">
      <alignment wrapText="1"/>
    </xf>
    <xf numFmtId="204" fontId="93" fillId="0" borderId="55" xfId="904" applyNumberFormat="1" applyFont="1" applyBorder="1" applyAlignment="1">
      <alignment vertical="center"/>
    </xf>
    <xf numFmtId="205" fontId="88" fillId="0" borderId="1" xfId="904" applyNumberFormat="1" applyFont="1" applyBorder="1" applyAlignment="1">
      <alignment vertical="center"/>
    </xf>
    <xf numFmtId="0" fontId="93" fillId="0" borderId="42" xfId="877" applyFont="1" applyBorder="1" applyAlignment="1">
      <alignment horizontal="left" vertical="center" wrapText="1"/>
    </xf>
    <xf numFmtId="202" fontId="105" fillId="0" borderId="0" xfId="0" applyNumberFormat="1" applyFont="1"/>
    <xf numFmtId="166" fontId="88" fillId="0" borderId="0" xfId="903" applyNumberFormat="1" applyFont="1" applyAlignment="1">
      <alignment vertical="center"/>
    </xf>
    <xf numFmtId="166" fontId="90" fillId="99" borderId="71" xfId="904" applyNumberFormat="1" applyFont="1" applyFill="1" applyBorder="1" applyAlignment="1">
      <alignment vertical="center"/>
    </xf>
    <xf numFmtId="166" fontId="89" fillId="99" borderId="71" xfId="904" applyNumberFormat="1" applyFont="1" applyFill="1" applyBorder="1" applyAlignment="1">
      <alignment vertical="center"/>
    </xf>
    <xf numFmtId="166" fontId="90" fillId="99" borderId="71" xfId="903" applyNumberFormat="1" applyFont="1" applyFill="1" applyBorder="1" applyAlignment="1">
      <alignment vertical="center"/>
    </xf>
    <xf numFmtId="203" fontId="90" fillId="0" borderId="0" xfId="950" applyNumberFormat="1" applyFont="1" applyFill="1" applyBorder="1" applyAlignment="1">
      <alignment vertical="center"/>
    </xf>
    <xf numFmtId="166" fontId="88" fillId="0" borderId="1" xfId="904" applyNumberFormat="1" applyFont="1" applyBorder="1" applyAlignment="1">
      <alignment vertical="center"/>
    </xf>
    <xf numFmtId="166" fontId="88" fillId="0" borderId="46" xfId="904" applyNumberFormat="1" applyFont="1" applyBorder="1" applyAlignment="1">
      <alignment vertical="center"/>
    </xf>
    <xf numFmtId="166" fontId="87" fillId="73" borderId="1" xfId="904" applyNumberFormat="1" applyFont="1" applyFill="1" applyBorder="1" applyAlignment="1">
      <alignment vertical="center"/>
    </xf>
    <xf numFmtId="166" fontId="87" fillId="73" borderId="46" xfId="904" applyNumberFormat="1" applyFont="1" applyFill="1" applyBorder="1" applyAlignment="1">
      <alignment vertical="center"/>
    </xf>
    <xf numFmtId="166" fontId="87" fillId="73" borderId="1" xfId="904" applyNumberFormat="1" applyFont="1" applyFill="1" applyBorder="1" applyAlignment="1">
      <alignment horizontal="right" vertical="center"/>
    </xf>
    <xf numFmtId="166" fontId="87" fillId="73" borderId="46" xfId="904" applyNumberFormat="1" applyFont="1" applyFill="1" applyBorder="1" applyAlignment="1">
      <alignment horizontal="right" vertical="center"/>
    </xf>
    <xf numFmtId="166" fontId="87" fillId="0" borderId="1" xfId="904" applyNumberFormat="1" applyFont="1" applyBorder="1" applyAlignment="1">
      <alignment vertical="center"/>
    </xf>
    <xf numFmtId="166" fontId="87" fillId="0" borderId="46" xfId="904" applyNumberFormat="1" applyFont="1" applyBorder="1" applyAlignment="1">
      <alignment vertical="center"/>
    </xf>
    <xf numFmtId="166" fontId="87" fillId="73" borderId="47" xfId="904" applyNumberFormat="1" applyFont="1" applyFill="1" applyBorder="1" applyAlignment="1">
      <alignment vertical="center"/>
    </xf>
    <xf numFmtId="166" fontId="87" fillId="73" borderId="48" xfId="904" applyNumberFormat="1" applyFont="1" applyFill="1" applyBorder="1" applyAlignment="1">
      <alignment vertical="center"/>
    </xf>
    <xf numFmtId="166" fontId="87" fillId="0" borderId="59" xfId="904" applyNumberFormat="1" applyFont="1" applyBorder="1" applyAlignment="1">
      <alignment vertical="center"/>
    </xf>
    <xf numFmtId="166" fontId="87" fillId="0" borderId="65" xfId="904" applyNumberFormat="1" applyFont="1" applyBorder="1" applyAlignment="1">
      <alignment vertical="center"/>
    </xf>
    <xf numFmtId="166" fontId="88" fillId="0" borderId="0" xfId="903" applyNumberFormat="1" applyFont="1"/>
    <xf numFmtId="203" fontId="90" fillId="0" borderId="0" xfId="903" applyNumberFormat="1" applyFont="1" applyAlignment="1">
      <alignment vertical="center"/>
    </xf>
    <xf numFmtId="203" fontId="90" fillId="0" borderId="0" xfId="903" applyNumberFormat="1" applyFont="1" applyAlignment="1">
      <alignment horizontal="center" vertical="center"/>
    </xf>
    <xf numFmtId="166" fontId="89" fillId="99" borderId="81" xfId="904" applyNumberFormat="1" applyFont="1" applyFill="1" applyBorder="1" applyAlignment="1">
      <alignment horizontal="center" vertical="center"/>
    </xf>
    <xf numFmtId="203" fontId="89" fillId="99" borderId="82" xfId="904" applyNumberFormat="1" applyFont="1" applyFill="1" applyBorder="1" applyAlignment="1">
      <alignment horizontal="center" vertical="center"/>
    </xf>
    <xf numFmtId="203" fontId="90" fillId="99" borderId="72" xfId="950" applyNumberFormat="1" applyFont="1" applyFill="1" applyBorder="1" applyAlignment="1">
      <alignment vertical="center"/>
    </xf>
    <xf numFmtId="166" fontId="89" fillId="99" borderId="75" xfId="904" applyNumberFormat="1" applyFont="1" applyFill="1" applyBorder="1" applyAlignment="1">
      <alignment vertical="center"/>
    </xf>
    <xf numFmtId="203" fontId="89" fillId="99" borderId="76" xfId="950" applyNumberFormat="1" applyFont="1" applyFill="1" applyBorder="1" applyAlignment="1">
      <alignment vertical="center"/>
    </xf>
    <xf numFmtId="203" fontId="90" fillId="99" borderId="72" xfId="904" applyNumberFormat="1" applyFont="1" applyFill="1" applyBorder="1" applyAlignment="1">
      <alignment vertical="center"/>
    </xf>
    <xf numFmtId="166" fontId="90" fillId="99" borderId="73" xfId="904" applyNumberFormat="1" applyFont="1" applyFill="1" applyBorder="1" applyAlignment="1">
      <alignment vertical="center"/>
    </xf>
    <xf numFmtId="203" fontId="90" fillId="99" borderId="74" xfId="904" applyNumberFormat="1" applyFont="1" applyFill="1" applyBorder="1" applyAlignment="1">
      <alignment vertical="center"/>
    </xf>
    <xf numFmtId="203" fontId="89" fillId="99" borderId="76" xfId="904" applyNumberFormat="1" applyFont="1" applyFill="1" applyBorder="1" applyAlignment="1">
      <alignment vertical="center"/>
    </xf>
    <xf numFmtId="166" fontId="89" fillId="99" borderId="77" xfId="904" applyNumberFormat="1" applyFont="1" applyFill="1" applyBorder="1" applyAlignment="1">
      <alignment horizontal="center" vertical="center"/>
    </xf>
    <xf numFmtId="203" fontId="89" fillId="99" borderId="78" xfId="0" applyNumberFormat="1" applyFont="1" applyFill="1" applyBorder="1" applyAlignment="1">
      <alignment horizontal="center" vertical="center"/>
    </xf>
    <xf numFmtId="203" fontId="90" fillId="99" borderId="72" xfId="0" applyNumberFormat="1" applyFont="1" applyFill="1" applyBorder="1" applyAlignment="1">
      <alignment horizontal="center" vertical="center" wrapText="1"/>
    </xf>
    <xf numFmtId="203" fontId="90" fillId="99" borderId="72" xfId="1700" applyNumberFormat="1" applyFont="1" applyFill="1" applyBorder="1" applyAlignment="1">
      <alignment horizontal="center" vertical="center" wrapText="1"/>
    </xf>
    <xf numFmtId="203" fontId="89" fillId="99" borderId="72" xfId="0" applyNumberFormat="1" applyFont="1" applyFill="1" applyBorder="1" applyAlignment="1">
      <alignment horizontal="center" vertical="center" wrapText="1"/>
    </xf>
    <xf numFmtId="203" fontId="89" fillId="99" borderId="76" xfId="0" applyNumberFormat="1" applyFont="1" applyFill="1" applyBorder="1" applyAlignment="1">
      <alignment horizontal="center" vertical="center" wrapText="1"/>
    </xf>
    <xf numFmtId="203" fontId="89" fillId="99" borderId="72" xfId="1700" applyNumberFormat="1" applyFont="1" applyFill="1" applyBorder="1" applyAlignment="1">
      <alignment horizontal="center" vertical="center" wrapText="1"/>
    </xf>
    <xf numFmtId="204" fontId="87" fillId="96" borderId="55" xfId="904" applyNumberFormat="1" applyFont="1" applyFill="1" applyBorder="1" applyAlignment="1">
      <alignment vertical="center"/>
    </xf>
    <xf numFmtId="204" fontId="87" fillId="96" borderId="1" xfId="904" applyNumberFormat="1" applyFont="1" applyFill="1" applyBorder="1" applyAlignment="1">
      <alignment vertical="center"/>
    </xf>
    <xf numFmtId="166" fontId="88" fillId="0" borderId="43" xfId="0" applyNumberFormat="1" applyFont="1" applyBorder="1" applyAlignment="1">
      <alignment horizontal="right" vertical="center" wrapText="1"/>
    </xf>
    <xf numFmtId="166" fontId="87" fillId="0" borderId="43" xfId="0" applyNumberFormat="1" applyFont="1" applyBorder="1" applyAlignment="1">
      <alignment horizontal="right" vertical="center" wrapText="1"/>
    </xf>
    <xf numFmtId="166" fontId="87" fillId="96" borderId="43" xfId="0" applyNumberFormat="1" applyFont="1" applyFill="1" applyBorder="1" applyAlignment="1">
      <alignment horizontal="right" vertical="center" wrapText="1"/>
    </xf>
    <xf numFmtId="166" fontId="87" fillId="96" borderId="43" xfId="0" applyNumberFormat="1" applyFont="1" applyFill="1" applyBorder="1" applyAlignment="1">
      <alignment vertical="center" wrapText="1"/>
    </xf>
    <xf numFmtId="166" fontId="88" fillId="96" borderId="43" xfId="0" applyNumberFormat="1" applyFont="1" applyFill="1" applyBorder="1" applyAlignment="1">
      <alignment horizontal="right" vertical="center" wrapText="1"/>
    </xf>
    <xf numFmtId="166" fontId="70" fillId="0" borderId="0" xfId="903" applyNumberFormat="1" applyFont="1"/>
    <xf numFmtId="49" fontId="93" fillId="94" borderId="28" xfId="836" applyNumberFormat="1" applyFont="1" applyFill="1" applyBorder="1" applyAlignment="1">
      <alignment horizontal="center"/>
    </xf>
    <xf numFmtId="0" fontId="81" fillId="0" borderId="64" xfId="0" applyFont="1" applyBorder="1" applyAlignment="1">
      <alignment horizontal="right" vertical="center"/>
    </xf>
    <xf numFmtId="0" fontId="81" fillId="0" borderId="64" xfId="0" applyFont="1" applyBorder="1" applyAlignment="1">
      <alignment horizontal="center" vertical="center"/>
    </xf>
    <xf numFmtId="166" fontId="78" fillId="0" borderId="0" xfId="1700" applyFont="1" applyAlignment="1">
      <alignment horizontal="right" vertical="center"/>
    </xf>
    <xf numFmtId="166" fontId="81" fillId="0" borderId="0" xfId="1700" applyFont="1" applyAlignment="1">
      <alignment horizontal="right" vertical="center"/>
    </xf>
    <xf numFmtId="3" fontId="93" fillId="0" borderId="0" xfId="0" applyNumberFormat="1" applyFont="1"/>
    <xf numFmtId="3" fontId="92" fillId="0" borderId="0" xfId="0" applyNumberFormat="1" applyFont="1"/>
    <xf numFmtId="10" fontId="92" fillId="0" borderId="0" xfId="1699" applyNumberFormat="1" applyFont="1"/>
    <xf numFmtId="166" fontId="70" fillId="0" borderId="0" xfId="1700" applyFont="1"/>
    <xf numFmtId="203" fontId="89" fillId="0" borderId="0" xfId="903" applyNumberFormat="1" applyFont="1" applyAlignment="1">
      <alignment horizontal="center" vertical="center"/>
    </xf>
    <xf numFmtId="3" fontId="89" fillId="0" borderId="0" xfId="904" applyNumberFormat="1" applyFont="1" applyAlignment="1">
      <alignment horizontal="center" vertical="center"/>
    </xf>
    <xf numFmtId="203" fontId="89" fillId="0" borderId="0" xfId="904" applyNumberFormat="1" applyFont="1" applyAlignment="1">
      <alignment horizontal="center" vertical="center"/>
    </xf>
    <xf numFmtId="203" fontId="90" fillId="0" borderId="0" xfId="904" applyNumberFormat="1" applyFont="1" applyAlignment="1">
      <alignment vertical="center"/>
    </xf>
    <xf numFmtId="203" fontId="89" fillId="0" borderId="0" xfId="904" applyNumberFormat="1" applyFont="1" applyAlignment="1">
      <alignment vertical="center"/>
    </xf>
    <xf numFmtId="0" fontId="78" fillId="0" borderId="0" xfId="0" applyFont="1" applyAlignment="1">
      <alignment horizontal="right"/>
    </xf>
    <xf numFmtId="166" fontId="73" fillId="0" borderId="0" xfId="0" applyNumberFormat="1" applyFont="1" applyAlignment="1">
      <alignment vertical="center"/>
    </xf>
    <xf numFmtId="166" fontId="74" fillId="0" borderId="0" xfId="0" applyNumberFormat="1" applyFont="1"/>
    <xf numFmtId="0" fontId="73" fillId="0" borderId="25" xfId="0" applyFont="1" applyBorder="1" applyAlignment="1">
      <alignment vertical="center"/>
    </xf>
    <xf numFmtId="0" fontId="73" fillId="0" borderId="25" xfId="0" applyFont="1" applyBorder="1" applyAlignment="1">
      <alignment horizontal="center" vertical="center"/>
    </xf>
    <xf numFmtId="166" fontId="72" fillId="0" borderId="0" xfId="1700" applyFont="1" applyAlignment="1">
      <alignment horizontal="right" vertical="center"/>
    </xf>
    <xf numFmtId="203" fontId="72" fillId="0" borderId="0" xfId="0" applyNumberFormat="1" applyFont="1" applyAlignment="1">
      <alignment horizontal="center" vertical="center"/>
    </xf>
    <xf numFmtId="166" fontId="92" fillId="0" borderId="0" xfId="0" applyNumberFormat="1" applyFont="1" applyAlignment="1">
      <alignment horizontal="center"/>
    </xf>
    <xf numFmtId="0" fontId="92" fillId="0" borderId="0" xfId="0" applyFont="1" applyAlignment="1">
      <alignment horizontal="center"/>
    </xf>
    <xf numFmtId="17" fontId="92" fillId="0" borderId="0" xfId="0" applyNumberFormat="1" applyFont="1" applyAlignment="1">
      <alignment horizontal="center"/>
    </xf>
    <xf numFmtId="166" fontId="93" fillId="0" borderId="0" xfId="0" applyNumberFormat="1" applyFont="1"/>
    <xf numFmtId="166" fontId="93" fillId="0" borderId="25" xfId="0" applyNumberFormat="1" applyFont="1" applyBorder="1"/>
    <xf numFmtId="166" fontId="92" fillId="0" borderId="0" xfId="0" applyNumberFormat="1" applyFont="1"/>
    <xf numFmtId="0" fontId="96" fillId="0" borderId="0" xfId="0" applyFont="1"/>
    <xf numFmtId="166" fontId="92" fillId="0" borderId="0" xfId="0" applyNumberFormat="1" applyFont="1" applyAlignment="1">
      <alignment horizontal="center" vertical="center"/>
    </xf>
    <xf numFmtId="0" fontId="92" fillId="0" borderId="0" xfId="0" applyFont="1" applyAlignment="1">
      <alignment horizontal="center" vertical="center"/>
    </xf>
    <xf numFmtId="17" fontId="92" fillId="0" borderId="0" xfId="0" applyNumberFormat="1" applyFont="1" applyAlignment="1">
      <alignment horizontal="center" vertical="center"/>
    </xf>
    <xf numFmtId="166" fontId="93" fillId="0" borderId="0" xfId="1700" applyFont="1"/>
    <xf numFmtId="0" fontId="88" fillId="100" borderId="0" xfId="0" applyFont="1" applyFill="1" applyAlignment="1">
      <alignment wrapText="1"/>
    </xf>
    <xf numFmtId="204" fontId="88" fillId="100" borderId="0" xfId="0" applyNumberFormat="1" applyFont="1" applyFill="1" applyAlignment="1">
      <alignment wrapText="1"/>
    </xf>
    <xf numFmtId="166" fontId="88" fillId="0" borderId="0" xfId="0" applyNumberFormat="1" applyFont="1" applyAlignment="1">
      <alignment wrapText="1"/>
    </xf>
    <xf numFmtId="0" fontId="72" fillId="0" borderId="64" xfId="0" applyFont="1" applyBorder="1" applyAlignment="1">
      <alignment horizontal="center" vertical="center"/>
    </xf>
    <xf numFmtId="0" fontId="107" fillId="0" borderId="0" xfId="0" applyFont="1" applyAlignment="1">
      <alignment vertical="center" wrapText="1"/>
    </xf>
    <xf numFmtId="206" fontId="73" fillId="0" borderId="0" xfId="0" applyNumberFormat="1" applyFont="1"/>
    <xf numFmtId="166" fontId="90" fillId="100" borderId="71" xfId="904" applyNumberFormat="1" applyFont="1" applyFill="1" applyBorder="1" applyAlignment="1">
      <alignment vertical="center"/>
    </xf>
    <xf numFmtId="14" fontId="92" fillId="73" borderId="87" xfId="904" applyNumberFormat="1" applyFont="1" applyFill="1" applyBorder="1" applyAlignment="1">
      <alignment horizontal="center" vertical="center"/>
    </xf>
    <xf numFmtId="10" fontId="72" fillId="0" borderId="0" xfId="950" applyNumberFormat="1" applyFont="1"/>
    <xf numFmtId="10" fontId="83" fillId="0" borderId="0" xfId="950" applyNumberFormat="1" applyFont="1" applyFill="1"/>
    <xf numFmtId="10" fontId="74" fillId="0" borderId="0" xfId="0" applyNumberFormat="1" applyFont="1"/>
    <xf numFmtId="10" fontId="84" fillId="0" borderId="0" xfId="950" applyNumberFormat="1" applyFont="1" applyFill="1"/>
    <xf numFmtId="166" fontId="74" fillId="0" borderId="0" xfId="0" applyNumberFormat="1" applyFont="1" applyAlignment="1">
      <alignment vertical="center"/>
    </xf>
    <xf numFmtId="203" fontId="74" fillId="0" borderId="0" xfId="0" applyNumberFormat="1" applyFont="1" applyAlignment="1">
      <alignment vertical="center"/>
    </xf>
    <xf numFmtId="203" fontId="73" fillId="0" borderId="0" xfId="0" applyNumberFormat="1" applyFont="1" applyAlignment="1">
      <alignment vertical="center"/>
    </xf>
    <xf numFmtId="166" fontId="74" fillId="0" borderId="0" xfId="1700" applyFont="1"/>
    <xf numFmtId="0" fontId="72" fillId="101" borderId="37" xfId="0" applyFont="1" applyFill="1" applyBorder="1" applyAlignment="1">
      <alignment vertical="center"/>
    </xf>
    <xf numFmtId="0" fontId="72" fillId="101" borderId="37" xfId="0" applyFont="1" applyFill="1" applyBorder="1" applyAlignment="1">
      <alignment horizontal="center" vertical="center"/>
    </xf>
    <xf numFmtId="0" fontId="74" fillId="101" borderId="0" xfId="0" applyFont="1" applyFill="1"/>
    <xf numFmtId="3" fontId="78" fillId="101" borderId="0" xfId="0" applyNumberFormat="1" applyFont="1" applyFill="1" applyAlignment="1">
      <alignment horizontal="right" vertical="center"/>
    </xf>
    <xf numFmtId="0" fontId="74" fillId="101" borderId="0" xfId="0" applyFont="1" applyFill="1" applyAlignment="1">
      <alignment vertical="center"/>
    </xf>
    <xf numFmtId="0" fontId="93" fillId="0" borderId="88" xfId="0" applyFont="1" applyBorder="1"/>
    <xf numFmtId="0" fontId="96" fillId="93" borderId="89" xfId="0" applyFont="1" applyFill="1" applyBorder="1"/>
    <xf numFmtId="184" fontId="95" fillId="93" borderId="90" xfId="0" applyNumberFormat="1" applyFont="1" applyFill="1" applyBorder="1"/>
    <xf numFmtId="49" fontId="95" fillId="93" borderId="91" xfId="836" applyNumberFormat="1" applyFont="1" applyFill="1" applyBorder="1" applyAlignment="1">
      <alignment horizontal="left"/>
    </xf>
    <xf numFmtId="0" fontId="93" fillId="0" borderId="92" xfId="0" applyFont="1" applyBorder="1"/>
    <xf numFmtId="184" fontId="95" fillId="93" borderId="93" xfId="0" applyNumberFormat="1" applyFont="1" applyFill="1" applyBorder="1"/>
    <xf numFmtId="0" fontId="95" fillId="93" borderId="94" xfId="0" applyFont="1" applyFill="1" applyBorder="1"/>
    <xf numFmtId="49" fontId="95" fillId="93" borderId="95" xfId="836" quotePrefix="1" applyNumberFormat="1" applyFont="1" applyFill="1" applyBorder="1" applyAlignment="1">
      <alignment horizontal="center"/>
    </xf>
    <xf numFmtId="0" fontId="93" fillId="0" borderId="97" xfId="0" applyFont="1" applyBorder="1"/>
    <xf numFmtId="0" fontId="92" fillId="0" borderId="97" xfId="0" applyFont="1" applyBorder="1"/>
    <xf numFmtId="0" fontId="104" fillId="0" borderId="97" xfId="0" applyFont="1" applyBorder="1"/>
    <xf numFmtId="0" fontId="92" fillId="0" borderId="99" xfId="0" applyFont="1" applyBorder="1"/>
    <xf numFmtId="187" fontId="92" fillId="0" borderId="100" xfId="836" applyNumberFormat="1" applyFont="1" applyFill="1" applyBorder="1"/>
    <xf numFmtId="187" fontId="80" fillId="0" borderId="31" xfId="836" applyNumberFormat="1" applyFont="1" applyFill="1" applyBorder="1"/>
    <xf numFmtId="166" fontId="74" fillId="0" borderId="0" xfId="1700" applyFont="1" applyAlignment="1">
      <alignment vertical="center"/>
    </xf>
    <xf numFmtId="10" fontId="73" fillId="0" borderId="0" xfId="0" applyNumberFormat="1" applyFont="1" applyAlignment="1">
      <alignment horizontal="right"/>
    </xf>
    <xf numFmtId="0" fontId="77" fillId="0" borderId="0" xfId="0" applyFont="1"/>
    <xf numFmtId="0" fontId="81" fillId="0" borderId="0" xfId="0" applyFont="1" applyAlignment="1">
      <alignment horizontal="center" vertical="center"/>
    </xf>
    <xf numFmtId="189" fontId="78" fillId="0" borderId="0" xfId="0" applyNumberFormat="1" applyFont="1" applyAlignment="1">
      <alignment horizontal="right" vertical="center"/>
    </xf>
    <xf numFmtId="3" fontId="78" fillId="0" borderId="39" xfId="0" applyNumberFormat="1" applyFont="1" applyBorder="1" applyAlignment="1">
      <alignment horizontal="right" vertical="center"/>
    </xf>
    <xf numFmtId="189" fontId="78" fillId="0" borderId="39" xfId="0" applyNumberFormat="1" applyFont="1" applyBorder="1" applyAlignment="1">
      <alignment horizontal="right" vertical="center"/>
    </xf>
    <xf numFmtId="189" fontId="81" fillId="0" borderId="0" xfId="0" applyNumberFormat="1" applyFont="1" applyAlignment="1">
      <alignment horizontal="right" vertical="center"/>
    </xf>
    <xf numFmtId="166" fontId="70" fillId="0" borderId="0" xfId="1700" applyFont="1" applyFill="1" applyAlignment="1">
      <alignment vertical="center"/>
    </xf>
    <xf numFmtId="166" fontId="74" fillId="0" borderId="0" xfId="1700" applyFont="1" applyFill="1" applyAlignment="1">
      <alignment vertical="center"/>
    </xf>
    <xf numFmtId="3" fontId="72" fillId="101" borderId="0" xfId="0" applyNumberFormat="1" applyFont="1" applyFill="1"/>
    <xf numFmtId="3" fontId="74" fillId="101" borderId="0" xfId="0" applyNumberFormat="1" applyFont="1" applyFill="1"/>
    <xf numFmtId="0" fontId="85" fillId="0" borderId="0" xfId="0" applyFont="1" applyAlignment="1">
      <alignment vertical="center"/>
    </xf>
    <xf numFmtId="14" fontId="108" fillId="73" borderId="87" xfId="904" applyNumberFormat="1" applyFont="1" applyFill="1" applyBorder="1" applyAlignment="1">
      <alignment horizontal="center" vertical="center" wrapText="1"/>
    </xf>
    <xf numFmtId="204" fontId="109" fillId="73" borderId="102" xfId="904" applyNumberFormat="1" applyFont="1" applyFill="1" applyBorder="1" applyAlignment="1">
      <alignment horizontal="center" vertical="top"/>
    </xf>
    <xf numFmtId="204" fontId="88" fillId="0" borderId="103" xfId="904" applyNumberFormat="1" applyFont="1" applyBorder="1" applyAlignment="1">
      <alignment vertical="center"/>
    </xf>
    <xf numFmtId="3" fontId="87" fillId="73" borderId="103" xfId="904" applyNumberFormat="1" applyFont="1" applyFill="1" applyBorder="1" applyAlignment="1">
      <alignment vertical="center"/>
    </xf>
    <xf numFmtId="3" fontId="88" fillId="0" borderId="103" xfId="904" applyNumberFormat="1" applyFont="1" applyBorder="1" applyAlignment="1">
      <alignment horizontal="center" vertical="center"/>
    </xf>
    <xf numFmtId="3" fontId="87" fillId="98" borderId="103" xfId="904" applyNumberFormat="1" applyFont="1" applyFill="1" applyBorder="1" applyAlignment="1">
      <alignment vertical="center"/>
    </xf>
    <xf numFmtId="205" fontId="88" fillId="0" borderId="103" xfId="904" applyNumberFormat="1" applyFont="1" applyBorder="1" applyAlignment="1">
      <alignment vertical="center"/>
    </xf>
    <xf numFmtId="200" fontId="87" fillId="73" borderId="104" xfId="904" applyNumberFormat="1" applyFont="1" applyFill="1" applyBorder="1" applyAlignment="1">
      <alignment vertical="center"/>
    </xf>
    <xf numFmtId="204" fontId="109" fillId="73" borderId="57" xfId="904" applyNumberFormat="1" applyFont="1" applyFill="1" applyBorder="1" applyAlignment="1">
      <alignment horizontal="center" vertical="top"/>
    </xf>
    <xf numFmtId="3" fontId="87" fillId="73" borderId="46" xfId="904" applyNumberFormat="1" applyFont="1" applyFill="1" applyBorder="1" applyAlignment="1">
      <alignment vertical="center"/>
    </xf>
    <xf numFmtId="3" fontId="88" fillId="0" borderId="46" xfId="904" applyNumberFormat="1" applyFont="1" applyBorder="1" applyAlignment="1">
      <alignment vertical="center"/>
    </xf>
    <xf numFmtId="3" fontId="87" fillId="98" borderId="46" xfId="904" applyNumberFormat="1" applyFont="1" applyFill="1" applyBorder="1" applyAlignment="1">
      <alignment vertical="center"/>
    </xf>
    <xf numFmtId="205" fontId="88" fillId="0" borderId="46" xfId="904" applyNumberFormat="1" applyFont="1" applyBorder="1" applyAlignment="1">
      <alignment vertical="center"/>
    </xf>
    <xf numFmtId="200" fontId="87" fillId="73" borderId="48" xfId="904" applyNumberFormat="1" applyFont="1" applyFill="1" applyBorder="1" applyAlignment="1">
      <alignment vertical="center"/>
    </xf>
    <xf numFmtId="166" fontId="71" fillId="0" borderId="0" xfId="1700" applyFont="1"/>
    <xf numFmtId="10" fontId="93" fillId="0" borderId="0" xfId="1699" applyNumberFormat="1" applyFont="1"/>
    <xf numFmtId="188" fontId="74" fillId="0" borderId="0" xfId="0" applyNumberFormat="1" applyFont="1"/>
    <xf numFmtId="204" fontId="87" fillId="73" borderId="55" xfId="904" applyNumberFormat="1" applyFont="1" applyFill="1" applyBorder="1" applyAlignment="1">
      <alignment horizontal="left" vertical="center"/>
    </xf>
    <xf numFmtId="204" fontId="87" fillId="73" borderId="1" xfId="904" applyNumberFormat="1" applyFont="1" applyFill="1" applyBorder="1" applyAlignment="1">
      <alignment horizontal="center" vertical="center"/>
    </xf>
    <xf numFmtId="0" fontId="88" fillId="0" borderId="0" xfId="903" applyFont="1" applyAlignment="1">
      <alignment vertical="center"/>
    </xf>
    <xf numFmtId="3" fontId="88" fillId="0" borderId="0" xfId="903" applyNumberFormat="1" applyFont="1" applyAlignment="1">
      <alignment vertical="center"/>
    </xf>
    <xf numFmtId="0" fontId="87" fillId="0" borderId="0" xfId="904" applyFont="1" applyAlignment="1">
      <alignment vertical="center"/>
    </xf>
    <xf numFmtId="204" fontId="87" fillId="73" borderId="56" xfId="904" applyNumberFormat="1" applyFont="1" applyFill="1" applyBorder="1" applyAlignment="1">
      <alignment horizontal="center" vertical="center"/>
    </xf>
    <xf numFmtId="204" fontId="87" fillId="73" borderId="57" xfId="904" applyNumberFormat="1" applyFont="1" applyFill="1" applyBorder="1" applyAlignment="1">
      <alignment horizontal="center" vertical="center"/>
    </xf>
    <xf numFmtId="193" fontId="87" fillId="0" borderId="0" xfId="904" applyNumberFormat="1" applyFont="1" applyAlignment="1">
      <alignment horizontal="center" vertical="center"/>
    </xf>
    <xf numFmtId="204" fontId="87" fillId="0" borderId="55" xfId="904" applyNumberFormat="1" applyFont="1" applyBorder="1" applyAlignment="1">
      <alignment horizontal="left" vertical="center"/>
    </xf>
    <xf numFmtId="0" fontId="91" fillId="0" borderId="0" xfId="904" applyFont="1" applyAlignment="1">
      <alignment vertical="center"/>
    </xf>
    <xf numFmtId="204" fontId="87" fillId="73" borderId="58" xfId="904" applyNumberFormat="1" applyFont="1" applyFill="1" applyBorder="1" applyAlignment="1">
      <alignment horizontal="left" vertical="center"/>
    </xf>
    <xf numFmtId="0" fontId="88" fillId="0" borderId="0" xfId="0" applyFont="1" applyAlignment="1">
      <alignment horizontal="left" vertical="center"/>
    </xf>
    <xf numFmtId="204" fontId="87" fillId="0" borderId="1" xfId="904" applyNumberFormat="1" applyFont="1" applyBorder="1" applyAlignment="1">
      <alignment horizontal="left" vertical="center"/>
    </xf>
    <xf numFmtId="204" fontId="87" fillId="73" borderId="1" xfId="904" applyNumberFormat="1" applyFont="1" applyFill="1" applyBorder="1" applyAlignment="1">
      <alignment horizontal="left" vertical="center"/>
    </xf>
    <xf numFmtId="204" fontId="79" fillId="0" borderId="55" xfId="904" applyNumberFormat="1" applyFont="1" applyBorder="1" applyAlignment="1">
      <alignment horizontal="left" vertical="center"/>
    </xf>
    <xf numFmtId="204" fontId="87" fillId="0" borderId="55" xfId="904" applyNumberFormat="1" applyFont="1" applyBorder="1" applyAlignment="1">
      <alignment horizontal="left" vertical="center" wrapText="1"/>
    </xf>
    <xf numFmtId="204" fontId="87" fillId="73" borderId="47" xfId="904" applyNumberFormat="1" applyFont="1" applyFill="1" applyBorder="1" applyAlignment="1">
      <alignment horizontal="left" vertical="center"/>
    </xf>
    <xf numFmtId="3" fontId="106" fillId="0" borderId="0" xfId="903" applyNumberFormat="1" applyFont="1" applyAlignment="1">
      <alignment vertical="center"/>
    </xf>
    <xf numFmtId="166" fontId="106" fillId="0" borderId="0" xfId="1700" applyFont="1" applyFill="1" applyBorder="1" applyAlignment="1">
      <alignment vertical="center"/>
    </xf>
    <xf numFmtId="3" fontId="110" fillId="0" borderId="0" xfId="878" applyNumberFormat="1" applyFont="1" applyAlignment="1">
      <alignment horizontal="right"/>
    </xf>
    <xf numFmtId="3" fontId="88" fillId="100" borderId="0" xfId="904" applyNumberFormat="1" applyFont="1" applyFill="1" applyAlignment="1">
      <alignment vertical="center"/>
    </xf>
    <xf numFmtId="207" fontId="83" fillId="0" borderId="0" xfId="950" applyNumberFormat="1" applyFont="1" applyFill="1"/>
    <xf numFmtId="166" fontId="81" fillId="0" borderId="0" xfId="1700" applyFont="1" applyFill="1" applyAlignment="1">
      <alignment horizontal="right" vertical="center"/>
    </xf>
    <xf numFmtId="166" fontId="78" fillId="0" borderId="0" xfId="1700" applyFont="1" applyFill="1" applyAlignment="1">
      <alignment horizontal="right" vertical="center"/>
    </xf>
    <xf numFmtId="166" fontId="72" fillId="0" borderId="0" xfId="0" applyNumberFormat="1" applyFont="1" applyAlignment="1">
      <alignment vertical="center"/>
    </xf>
    <xf numFmtId="203" fontId="72" fillId="0" borderId="0" xfId="0" applyNumberFormat="1" applyFont="1" applyAlignment="1">
      <alignment vertical="center"/>
    </xf>
    <xf numFmtId="187" fontId="93" fillId="102" borderId="32" xfId="836" applyNumberFormat="1" applyFont="1" applyFill="1" applyBorder="1"/>
    <xf numFmtId="187" fontId="92" fillId="102" borderId="32" xfId="836" applyNumberFormat="1" applyFont="1" applyFill="1" applyBorder="1"/>
    <xf numFmtId="187" fontId="93" fillId="102" borderId="44" xfId="836" applyNumberFormat="1" applyFont="1" applyFill="1" applyBorder="1"/>
    <xf numFmtId="49" fontId="93" fillId="94" borderId="31" xfId="836" applyNumberFormat="1" applyFont="1" applyFill="1" applyBorder="1" applyAlignment="1">
      <alignment horizontal="center"/>
    </xf>
    <xf numFmtId="170" fontId="93" fillId="102" borderId="32" xfId="836" applyNumberFormat="1" applyFont="1" applyFill="1" applyBorder="1"/>
    <xf numFmtId="187" fontId="93" fillId="102" borderId="98" xfId="836" applyNumberFormat="1" applyFont="1" applyFill="1" applyBorder="1"/>
    <xf numFmtId="187" fontId="92" fillId="102" borderId="98" xfId="836" applyNumberFormat="1" applyFont="1" applyFill="1" applyBorder="1"/>
    <xf numFmtId="187" fontId="80" fillId="102" borderId="98" xfId="836" applyNumberFormat="1" applyFont="1" applyFill="1" applyBorder="1"/>
    <xf numFmtId="187" fontId="92" fillId="102" borderId="101" xfId="836" applyNumberFormat="1" applyFont="1" applyFill="1" applyBorder="1"/>
    <xf numFmtId="170" fontId="95" fillId="102" borderId="32" xfId="836" applyNumberFormat="1" applyFont="1" applyFill="1" applyBorder="1"/>
    <xf numFmtId="170" fontId="95" fillId="102" borderId="35" xfId="836" applyNumberFormat="1" applyFont="1" applyFill="1" applyBorder="1"/>
    <xf numFmtId="187" fontId="73" fillId="0" borderId="0" xfId="0" applyNumberFormat="1" applyFont="1" applyAlignment="1">
      <alignment vertical="center"/>
    </xf>
    <xf numFmtId="0" fontId="88" fillId="100" borderId="55" xfId="904" applyFont="1" applyFill="1" applyBorder="1" applyAlignment="1">
      <alignment vertical="center"/>
    </xf>
    <xf numFmtId="204" fontId="88" fillId="100" borderId="1" xfId="904" applyNumberFormat="1" applyFont="1" applyFill="1" applyBorder="1" applyAlignment="1">
      <alignment horizontal="center" vertical="center"/>
    </xf>
    <xf numFmtId="204" fontId="88" fillId="100" borderId="1" xfId="904" applyNumberFormat="1" applyFont="1" applyFill="1" applyBorder="1" applyAlignment="1">
      <alignment vertical="center"/>
    </xf>
    <xf numFmtId="0" fontId="81" fillId="0" borderId="0" xfId="0" applyFont="1"/>
    <xf numFmtId="0" fontId="79" fillId="0" borderId="0" xfId="0" applyFont="1"/>
    <xf numFmtId="0" fontId="76" fillId="0" borderId="0" xfId="0" applyFont="1" applyAlignment="1">
      <alignment horizontal="justify"/>
    </xf>
    <xf numFmtId="3" fontId="78" fillId="0" borderId="0" xfId="0" applyNumberFormat="1" applyFont="1"/>
    <xf numFmtId="170" fontId="93" fillId="100" borderId="32" xfId="836" applyNumberFormat="1" applyFont="1" applyFill="1" applyBorder="1"/>
    <xf numFmtId="170" fontId="93" fillId="100" borderId="29" xfId="836" applyNumberFormat="1" applyFont="1" applyFill="1" applyBorder="1"/>
    <xf numFmtId="167" fontId="95" fillId="93" borderId="28" xfId="828" quotePrefix="1" applyFont="1" applyFill="1" applyBorder="1" applyAlignment="1">
      <alignment horizontal="center"/>
    </xf>
    <xf numFmtId="49" fontId="95" fillId="93" borderId="96" xfId="836" quotePrefix="1" applyNumberFormat="1" applyFont="1" applyFill="1" applyBorder="1" applyAlignment="1">
      <alignment horizontal="center"/>
    </xf>
    <xf numFmtId="3" fontId="112" fillId="0" borderId="0" xfId="0" applyNumberFormat="1" applyFont="1"/>
    <xf numFmtId="49" fontId="95" fillId="93" borderId="95" xfId="836" applyNumberFormat="1" applyFont="1" applyFill="1" applyBorder="1" applyAlignment="1">
      <alignment horizontal="center"/>
    </xf>
    <xf numFmtId="49" fontId="95" fillId="93" borderId="96" xfId="836" applyNumberFormat="1" applyFont="1" applyFill="1" applyBorder="1" applyAlignment="1">
      <alignment horizontal="center"/>
    </xf>
    <xf numFmtId="0" fontId="93" fillId="0" borderId="105" xfId="0" applyFont="1" applyBorder="1"/>
    <xf numFmtId="204" fontId="72" fillId="0" borderId="25" xfId="0" applyNumberFormat="1" applyFont="1" applyBorder="1" applyAlignment="1">
      <alignment horizontal="right" vertical="center"/>
    </xf>
    <xf numFmtId="204" fontId="73" fillId="0" borderId="25" xfId="0" applyNumberFormat="1" applyFont="1" applyBorder="1" applyAlignment="1">
      <alignment horizontal="right" vertical="center"/>
    </xf>
    <xf numFmtId="204" fontId="72" fillId="0" borderId="37" xfId="0" applyNumberFormat="1" applyFont="1" applyBorder="1" applyAlignment="1">
      <alignment horizontal="right" vertical="center"/>
    </xf>
    <xf numFmtId="0" fontId="81" fillId="0" borderId="64" xfId="0" applyFont="1" applyBorder="1" applyAlignment="1">
      <alignment horizontal="center" vertical="center"/>
    </xf>
    <xf numFmtId="0" fontId="72" fillId="0" borderId="37" xfId="0" applyFont="1" applyBorder="1" applyAlignment="1">
      <alignment horizontal="center" vertical="center"/>
    </xf>
    <xf numFmtId="0" fontId="81" fillId="0" borderId="85" xfId="0" applyFont="1" applyBorder="1" applyAlignment="1">
      <alignment horizontal="center" vertical="center"/>
    </xf>
    <xf numFmtId="0" fontId="81" fillId="0" borderId="38" xfId="0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0" fontId="72" fillId="0" borderId="38" xfId="0" applyFont="1" applyBorder="1" applyAlignment="1">
      <alignment horizontal="center" vertical="center"/>
    </xf>
    <xf numFmtId="204" fontId="87" fillId="73" borderId="60" xfId="904" applyNumberFormat="1" applyFont="1" applyFill="1" applyBorder="1" applyAlignment="1">
      <alignment horizontal="left" vertical="center"/>
    </xf>
    <xf numFmtId="204" fontId="87" fillId="73" borderId="61" xfId="904" applyNumberFormat="1" applyFont="1" applyFill="1" applyBorder="1" applyAlignment="1">
      <alignment horizontal="left" vertical="center"/>
    </xf>
    <xf numFmtId="204" fontId="87" fillId="73" borderId="54" xfId="904" applyNumberFormat="1" applyFont="1" applyFill="1" applyBorder="1" applyAlignment="1">
      <alignment horizontal="center" vertical="center"/>
    </xf>
    <xf numFmtId="204" fontId="87" fillId="73" borderId="1" xfId="904" applyNumberFormat="1" applyFont="1" applyFill="1" applyBorder="1" applyAlignment="1">
      <alignment horizontal="center" vertical="center"/>
    </xf>
    <xf numFmtId="3" fontId="89" fillId="99" borderId="79" xfId="904" applyNumberFormat="1" applyFont="1" applyFill="1" applyBorder="1" applyAlignment="1">
      <alignment horizontal="center" vertical="center"/>
    </xf>
    <xf numFmtId="3" fontId="89" fillId="99" borderId="80" xfId="904" applyNumberFormat="1" applyFont="1" applyFill="1" applyBorder="1" applyAlignment="1">
      <alignment horizontal="center" vertical="center"/>
    </xf>
    <xf numFmtId="166" fontId="87" fillId="0" borderId="86" xfId="903" applyNumberFormat="1" applyFont="1" applyBorder="1" applyAlignment="1">
      <alignment horizontal="center"/>
    </xf>
    <xf numFmtId="204" fontId="87" fillId="73" borderId="53" xfId="904" applyNumberFormat="1" applyFont="1" applyFill="1" applyBorder="1" applyAlignment="1">
      <alignment horizontal="left" vertical="center"/>
    </xf>
    <xf numFmtId="204" fontId="87" fillId="73" borderId="55" xfId="904" applyNumberFormat="1" applyFont="1" applyFill="1" applyBorder="1" applyAlignment="1">
      <alignment horizontal="left" vertical="center"/>
    </xf>
    <xf numFmtId="166" fontId="89" fillId="99" borderId="83" xfId="904" applyNumberFormat="1" applyFont="1" applyFill="1" applyBorder="1" applyAlignment="1">
      <alignment horizontal="center" vertical="center"/>
    </xf>
    <xf numFmtId="166" fontId="89" fillId="99" borderId="84" xfId="904" applyNumberFormat="1" applyFont="1" applyFill="1" applyBorder="1" applyAlignment="1">
      <alignment horizontal="center" vertical="center"/>
    </xf>
    <xf numFmtId="0" fontId="87" fillId="97" borderId="69" xfId="0" applyFont="1" applyFill="1" applyBorder="1" applyAlignment="1">
      <alignment horizontal="left" vertical="center"/>
    </xf>
    <xf numFmtId="0" fontId="87" fillId="97" borderId="66" xfId="0" applyFont="1" applyFill="1" applyBorder="1" applyAlignment="1">
      <alignment horizontal="left" vertical="center"/>
    </xf>
    <xf numFmtId="0" fontId="87" fillId="97" borderId="67" xfId="0" applyFont="1" applyFill="1" applyBorder="1" applyAlignment="1">
      <alignment horizontal="center" vertical="center"/>
    </xf>
    <xf numFmtId="0" fontId="87" fillId="97" borderId="68" xfId="0" applyFont="1" applyFill="1" applyBorder="1" applyAlignment="1">
      <alignment horizontal="center" vertical="center"/>
    </xf>
  </cellXfs>
  <cellStyles count="1814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2 2 2" xfId="1707" xr:uid="{88CCB0A7-6416-48D4-9FA2-08A9761196C9}"/>
    <cellStyle name="0,0_x000d__x000a_NA_x000d__x000a_ 2 3" xfId="1706" xr:uid="{2A78F189-9431-4D84-A13D-599B232EE3A7}"/>
    <cellStyle name="0,0_x000d__x000a_NA_x000d__x000a_ 3" xfId="4" xr:uid="{00000000-0005-0000-0000-000003000000}"/>
    <cellStyle name="0,0_x000d__x000a_NA_x000d__x000a_ 3 2" xfId="1708" xr:uid="{4A28C0C0-B068-40DE-81CD-DD11A186AEC3}"/>
    <cellStyle name="0,0_x000d__x000a_NA_x000d__x000a_ 4" xfId="1705" xr:uid="{8C581054-0C66-41CC-9F78-6B58E744E837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1 2 3" xfId="1709" xr:uid="{E91548CA-B065-4DF6-9854-037DA2408DAB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2 2 3" xfId="1710" xr:uid="{EF8A4BE4-49AD-4DDB-B44D-164A923D22C8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3 2 3" xfId="1711" xr:uid="{B84DBC2C-B57E-4E4B-B041-977287D2ED2D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4 2 3" xfId="1712" xr:uid="{7D1D6513-9EA4-4D5C-8E12-6785807E0FC9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5 2 3" xfId="1713" xr:uid="{A8AC0BDC-BEEC-48AD-8E59-2FE75DCED1E1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20% - Énfasis6 2 3" xfId="1714" xr:uid="{697CEC3F-B4B7-4DC0-89CA-395E2DBEBB4C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1 2 3" xfId="1715" xr:uid="{DC2455B3-256F-45E7-8B84-D617B773F54B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2 2 3" xfId="1716" xr:uid="{9AB9E43E-0FF6-40A3-BA7D-379163731D27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3 2 3" xfId="1717" xr:uid="{0A6C0360-01F6-4A3B-8B68-5A5320414F3F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4 2 3" xfId="1718" xr:uid="{722C24B0-D97A-43A8-B997-7D1E3BC0EA94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5 2 3" xfId="1719" xr:uid="{5257A195-99CE-46C0-9C7F-B30C48D25911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40% - Énfasis6 2 3" xfId="1720" xr:uid="{F35A9ECB-3769-47A7-BFBA-32BD5A116B09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81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uro 2" xfId="1722" xr:uid="{0092E34A-D440-449B-B710-DD6A4262763E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Incorrecto" xfId="787" builtinId="27" customBuiltin="1"/>
    <cellStyle name="Incorrecto 2" xfId="788" xr:uid="{00000000-0005-0000-0000-000015030000}"/>
    <cellStyle name="Incorrecto 2 2" xfId="789" xr:uid="{00000000-0005-0000-0000-000016030000}"/>
    <cellStyle name="Incorrecto 2 3" xfId="790" xr:uid="{00000000-0005-0000-0000-000017030000}"/>
    <cellStyle name="Incorrecto 2 4" xfId="791" xr:uid="{00000000-0005-0000-0000-000018030000}"/>
    <cellStyle name="Incorrecto 2 5" xfId="792" xr:uid="{00000000-0005-0000-0000-000019030000}"/>
    <cellStyle name="Incorrecto 2 6" xfId="793" xr:uid="{00000000-0005-0000-0000-00001A030000}"/>
    <cellStyle name="Incorrecto 3" xfId="794" xr:uid="{00000000-0005-0000-0000-00001B030000}"/>
    <cellStyle name="Incorrecto 3 2" xfId="795" xr:uid="{00000000-0005-0000-0000-00001C030000}"/>
    <cellStyle name="Incorrecto 3 3" xfId="796" xr:uid="{00000000-0005-0000-0000-00001D030000}"/>
    <cellStyle name="Incorrecto 3 4" xfId="797" xr:uid="{00000000-0005-0000-0000-00001E030000}"/>
    <cellStyle name="Incorrecto 3 5" xfId="798" xr:uid="{00000000-0005-0000-0000-00001F030000}"/>
    <cellStyle name="Incorrecto 4" xfId="799" xr:uid="{00000000-0005-0000-0000-000020030000}"/>
    <cellStyle name="Incorrecto 4 2" xfId="800" xr:uid="{00000000-0005-0000-0000-000021030000}"/>
    <cellStyle name="Incorrecto 4 3" xfId="801" xr:uid="{00000000-0005-0000-0000-000022030000}"/>
    <cellStyle name="Incorrecto 4 4" xfId="802" xr:uid="{00000000-0005-0000-0000-000023030000}"/>
    <cellStyle name="Incorrecto 4 5" xfId="803" xr:uid="{00000000-0005-0000-0000-000024030000}"/>
    <cellStyle name="Incorrecto 5" xfId="804" xr:uid="{00000000-0005-0000-0000-000025030000}"/>
    <cellStyle name="Incorrecto 5 2" xfId="805" xr:uid="{00000000-0005-0000-0000-000026030000}"/>
    <cellStyle name="Incorrecto 5 3" xfId="806" xr:uid="{00000000-0005-0000-0000-000027030000}"/>
    <cellStyle name="Incorrecto 5 4" xfId="807" xr:uid="{00000000-0005-0000-0000-000028030000}"/>
    <cellStyle name="Incorrecto 5 5" xfId="808" xr:uid="{00000000-0005-0000-0000-000029030000}"/>
    <cellStyle name="Incorrecto 6" xfId="809" xr:uid="{00000000-0005-0000-0000-00002A030000}"/>
    <cellStyle name="Incorrecto 6 2" xfId="810" xr:uid="{00000000-0005-0000-0000-00002B030000}"/>
    <cellStyle name="Incorrecto 7" xfId="811" xr:uid="{00000000-0005-0000-0000-00002C030000}"/>
    <cellStyle name="Incorrecto 8" xfId="812" xr:uid="{00000000-0005-0000-0000-00002D030000}"/>
    <cellStyle name="Incorrecto 9" xfId="813" xr:uid="{00000000-0005-0000-0000-00002E030000}"/>
    <cellStyle name="Input" xfId="814" xr:uid="{00000000-0005-0000-0000-00002F030000}"/>
    <cellStyle name="Input 2" xfId="815" xr:uid="{00000000-0005-0000-0000-000030030000}"/>
    <cellStyle name="Input 3" xfId="816" xr:uid="{00000000-0005-0000-0000-000031030000}"/>
    <cellStyle name="Input 4" xfId="817" xr:uid="{00000000-0005-0000-0000-000032030000}"/>
    <cellStyle name="Input 5" xfId="818" xr:uid="{00000000-0005-0000-0000-000033030000}"/>
    <cellStyle name="Input_valor justo.junio2010" xfId="819" xr:uid="{00000000-0005-0000-0000-000034030000}"/>
    <cellStyle name="Komórka po??czona" xfId="820" xr:uid="{00000000-0005-0000-0000-000035030000}"/>
    <cellStyle name="Komórka połączona" xfId="821" xr:uid="{00000000-0005-0000-0000-000036030000}"/>
    <cellStyle name="Komórka zaznaczona" xfId="822" xr:uid="{00000000-0005-0000-0000-000037030000}"/>
    <cellStyle name="Linked Cell" xfId="823" xr:uid="{00000000-0005-0000-0000-000038030000}"/>
    <cellStyle name="Linked Cell 2" xfId="824" xr:uid="{00000000-0005-0000-0000-000039030000}"/>
    <cellStyle name="Linked Cell 3" xfId="825" xr:uid="{00000000-0005-0000-0000-00003A030000}"/>
    <cellStyle name="Linked Cell 4" xfId="826" xr:uid="{00000000-0005-0000-0000-00003B030000}"/>
    <cellStyle name="Linked Cell 5" xfId="827" xr:uid="{00000000-0005-0000-0000-00003C030000}"/>
    <cellStyle name="Millares" xfId="828" builtinId="3"/>
    <cellStyle name="Millares [0]" xfId="1700" builtinId="6"/>
    <cellStyle name="Millares [0] 2" xfId="1703" xr:uid="{00000000-0005-0000-0000-00003F030000}"/>
    <cellStyle name="Millares [0] 2 2" xfId="829" xr:uid="{00000000-0005-0000-0000-000040030000}"/>
    <cellStyle name="Millares [0] 2 2 2" xfId="1726" xr:uid="{9B976AC1-EBAF-4D23-98F6-AEC5E6ABE32C}"/>
    <cellStyle name="Millares [0] 3" xfId="1704" xr:uid="{00000000-0005-0000-0000-000041030000}"/>
    <cellStyle name="Millares [0] 4" xfId="1812" xr:uid="{D44CE2B8-2B4B-4322-A4E8-0E0A242B7C2B}"/>
    <cellStyle name="Millares 10" xfId="1721" xr:uid="{13341F1C-1DD9-467C-9235-FCA45C4951AE}"/>
    <cellStyle name="Millares 11" xfId="1723" xr:uid="{F411E64D-C510-40FE-888A-AED8168FC230}"/>
    <cellStyle name="Millares 2" xfId="830" xr:uid="{00000000-0005-0000-0000-000042030000}"/>
    <cellStyle name="Millares 2 2" xfId="1727" xr:uid="{3C09A729-D1BB-4672-9F3C-3FA66BDB6C71}"/>
    <cellStyle name="Millares 3" xfId="831" xr:uid="{00000000-0005-0000-0000-000043030000}"/>
    <cellStyle name="Millares 3 2" xfId="832" xr:uid="{00000000-0005-0000-0000-000044030000}"/>
    <cellStyle name="Millares 3 2 2" xfId="1729" xr:uid="{3BB7F43F-A2C8-4248-A7A1-5288D115DDF1}"/>
    <cellStyle name="Millares 3 3" xfId="1728" xr:uid="{76CFCFC2-3FA0-4E10-A67F-492C07073F90}"/>
    <cellStyle name="Millares 4" xfId="833" xr:uid="{00000000-0005-0000-0000-000045030000}"/>
    <cellStyle name="Millares 4 2" xfId="1730" xr:uid="{34FC9963-78AB-4D68-8BA8-5B2D5A42BBF0}"/>
    <cellStyle name="Millares 5" xfId="834" xr:uid="{00000000-0005-0000-0000-000046030000}"/>
    <cellStyle name="Millares 6" xfId="1702" xr:uid="{00000000-0005-0000-0000-000047030000}"/>
    <cellStyle name="Millares 6 2" xfId="1813" xr:uid="{9BB186B6-A4ED-4AD5-9730-61E08FB187B4}"/>
    <cellStyle name="Millares 7" xfId="835" xr:uid="{00000000-0005-0000-0000-000048030000}"/>
    <cellStyle name="Millares 8" xfId="1725" xr:uid="{C6240D10-C7CF-42D0-8A92-E489BD54F02C}"/>
    <cellStyle name="Millares 9" xfId="1724" xr:uid="{FF9F7F4C-4E66-4677-B9C9-9DD0BB806880}"/>
    <cellStyle name="Millares_Analisis Razonado diciemb 08" xfId="836" xr:uid="{00000000-0005-0000-0000-000049030000}"/>
    <cellStyle name="Moneda [0] 2 2" xfId="837" xr:uid="{00000000-0005-0000-0000-00004A030000}"/>
    <cellStyle name="Moneda [0] 2 2 2" xfId="1731" xr:uid="{333F0F5F-6653-49C3-870B-E52FBA4E57B8}"/>
    <cellStyle name="Moneda 2" xfId="838" xr:uid="{00000000-0005-0000-0000-00004B030000}"/>
    <cellStyle name="Moneda 2 2" xfId="839" xr:uid="{00000000-0005-0000-0000-00004C030000}"/>
    <cellStyle name="Moneda 2 2 2" xfId="1733" xr:uid="{846E5DA5-E67F-4A92-AC62-00615A3FA64B}"/>
    <cellStyle name="Moneda 2 3" xfId="840" xr:uid="{00000000-0005-0000-0000-00004D030000}"/>
    <cellStyle name="Moneda 2 3 2" xfId="1734" xr:uid="{1DB536EF-6A49-43BC-A40C-5D68CF03F4F4}"/>
    <cellStyle name="Moneda 2 4" xfId="1732" xr:uid="{8FFCE1D5-0F75-46FD-A1CD-E335CACCEBCD}"/>
    <cellStyle name="Nag?ówek 1" xfId="841" xr:uid="{00000000-0005-0000-0000-00004E030000}"/>
    <cellStyle name="Nag?ówek 2" xfId="842" xr:uid="{00000000-0005-0000-0000-00004F030000}"/>
    <cellStyle name="Nag?ówek 3" xfId="843" xr:uid="{00000000-0005-0000-0000-000050030000}"/>
    <cellStyle name="Nag?ówek 4" xfId="844" xr:uid="{00000000-0005-0000-0000-000051030000}"/>
    <cellStyle name="Nagłówek 1" xfId="845" xr:uid="{00000000-0005-0000-0000-000052030000}"/>
    <cellStyle name="Nagłówek 2" xfId="846" xr:uid="{00000000-0005-0000-0000-000053030000}"/>
    <cellStyle name="Nagłówek 3" xfId="847" xr:uid="{00000000-0005-0000-0000-000054030000}"/>
    <cellStyle name="Nagłówek 4" xfId="848" xr:uid="{00000000-0005-0000-0000-000055030000}"/>
    <cellStyle name="Neutral" xfId="849" builtinId="28" customBuiltin="1"/>
    <cellStyle name="Neutral 2" xfId="850" xr:uid="{00000000-0005-0000-0000-000057030000}"/>
    <cellStyle name="Neutral 2 2" xfId="851" xr:uid="{00000000-0005-0000-0000-000058030000}"/>
    <cellStyle name="Neutral 2 3" xfId="852" xr:uid="{00000000-0005-0000-0000-000059030000}"/>
    <cellStyle name="Neutral 2 4" xfId="853" xr:uid="{00000000-0005-0000-0000-00005A030000}"/>
    <cellStyle name="Neutral 2 5" xfId="854" xr:uid="{00000000-0005-0000-0000-00005B030000}"/>
    <cellStyle name="Neutral 2 6" xfId="855" xr:uid="{00000000-0005-0000-0000-00005C030000}"/>
    <cellStyle name="Neutral 3" xfId="856" xr:uid="{00000000-0005-0000-0000-00005D030000}"/>
    <cellStyle name="Neutral 3 2" xfId="857" xr:uid="{00000000-0005-0000-0000-00005E030000}"/>
    <cellStyle name="Neutral 3 3" xfId="858" xr:uid="{00000000-0005-0000-0000-00005F030000}"/>
    <cellStyle name="Neutral 3 4" xfId="859" xr:uid="{00000000-0005-0000-0000-000060030000}"/>
    <cellStyle name="Neutral 3 5" xfId="860" xr:uid="{00000000-0005-0000-0000-000061030000}"/>
    <cellStyle name="Neutral 4" xfId="861" xr:uid="{00000000-0005-0000-0000-000062030000}"/>
    <cellStyle name="Neutral 4 2" xfId="862" xr:uid="{00000000-0005-0000-0000-000063030000}"/>
    <cellStyle name="Neutral 4 3" xfId="863" xr:uid="{00000000-0005-0000-0000-000064030000}"/>
    <cellStyle name="Neutral 4 4" xfId="864" xr:uid="{00000000-0005-0000-0000-000065030000}"/>
    <cellStyle name="Neutral 4 5" xfId="865" xr:uid="{00000000-0005-0000-0000-000066030000}"/>
    <cellStyle name="Neutral 5" xfId="866" xr:uid="{00000000-0005-0000-0000-000067030000}"/>
    <cellStyle name="Neutral 5 2" xfId="867" xr:uid="{00000000-0005-0000-0000-000068030000}"/>
    <cellStyle name="Neutral 5 3" xfId="868" xr:uid="{00000000-0005-0000-0000-000069030000}"/>
    <cellStyle name="Neutral 5 4" xfId="869" xr:uid="{00000000-0005-0000-0000-00006A030000}"/>
    <cellStyle name="Neutral 5 5" xfId="870" xr:uid="{00000000-0005-0000-0000-00006B030000}"/>
    <cellStyle name="Neutral 6" xfId="871" xr:uid="{00000000-0005-0000-0000-00006C030000}"/>
    <cellStyle name="Neutral 6 2" xfId="872" xr:uid="{00000000-0005-0000-0000-00006D030000}"/>
    <cellStyle name="Neutral 7" xfId="873" xr:uid="{00000000-0005-0000-0000-00006E030000}"/>
    <cellStyle name="Neutral 8" xfId="874" xr:uid="{00000000-0005-0000-0000-00006F030000}"/>
    <cellStyle name="Neutral 9" xfId="875" xr:uid="{00000000-0005-0000-0000-000070030000}"/>
    <cellStyle name="Neutralne" xfId="876" xr:uid="{00000000-0005-0000-0000-000071030000}"/>
    <cellStyle name="Normal" xfId="0" builtinId="0"/>
    <cellStyle name="Normal 10" xfId="877" xr:uid="{00000000-0005-0000-0000-000073030000}"/>
    <cellStyle name="Normal 10 2" xfId="878" xr:uid="{00000000-0005-0000-0000-000074030000}"/>
    <cellStyle name="Normal 10 2 2" xfId="1736" xr:uid="{A31F561B-6262-4B1F-AEF2-4BF18C12298F}"/>
    <cellStyle name="Normal 10 3" xfId="1735" xr:uid="{F9401370-2663-4E4F-8425-5478B1B3EF0F}"/>
    <cellStyle name="Normal 11" xfId="879" xr:uid="{00000000-0005-0000-0000-000075030000}"/>
    <cellStyle name="Normal 11 2" xfId="880" xr:uid="{00000000-0005-0000-0000-000076030000}"/>
    <cellStyle name="Normal 11 2 2" xfId="1738" xr:uid="{4D376180-24D6-49DB-BB0B-6D0D76F56282}"/>
    <cellStyle name="Normal 11 3" xfId="1737" xr:uid="{C78809F7-F2CA-4E39-ADF0-C9AA117972D5}"/>
    <cellStyle name="Normal 12" xfId="881" xr:uid="{00000000-0005-0000-0000-000077030000}"/>
    <cellStyle name="Normal 12 2" xfId="882" xr:uid="{00000000-0005-0000-0000-000078030000}"/>
    <cellStyle name="Normal 12 2 2" xfId="1740" xr:uid="{7EA3B43B-4211-4A37-8D92-2B6EE8DFF03C}"/>
    <cellStyle name="Normal 12 3" xfId="1739" xr:uid="{3ABC5A78-76A8-4903-9E52-494B9AEA9EBB}"/>
    <cellStyle name="Normal 13" xfId="883" xr:uid="{00000000-0005-0000-0000-000079030000}"/>
    <cellStyle name="Normal 13 2" xfId="884" xr:uid="{00000000-0005-0000-0000-00007A030000}"/>
    <cellStyle name="Normal 13 2 2" xfId="1742" xr:uid="{516AB647-EDAD-4473-A438-C1D29193E3F4}"/>
    <cellStyle name="Normal 13 3" xfId="1741" xr:uid="{901FF535-0E0E-48C3-B2E7-2CF8A54657E9}"/>
    <cellStyle name="Normal 14" xfId="885" xr:uid="{00000000-0005-0000-0000-00007B030000}"/>
    <cellStyle name="Normal 14 2" xfId="1743" xr:uid="{9B7B3DD4-7801-4D4A-8AF8-94CE92F64D3B}"/>
    <cellStyle name="Normal 15" xfId="886" xr:uid="{00000000-0005-0000-0000-00007C030000}"/>
    <cellStyle name="Normal 15 2" xfId="887" xr:uid="{00000000-0005-0000-0000-00007D030000}"/>
    <cellStyle name="Normal 15 2 2" xfId="1745" xr:uid="{1347EFA8-C6F0-4005-8263-ABA4D0DA3262}"/>
    <cellStyle name="Normal 15 3" xfId="1744" xr:uid="{EFD4E0BA-F58B-4832-A6F2-E51B45B25969}"/>
    <cellStyle name="Normal 16" xfId="1698" xr:uid="{00000000-0005-0000-0000-00007E030000}"/>
    <cellStyle name="Normal 17" xfId="888" xr:uid="{00000000-0005-0000-0000-00007F030000}"/>
    <cellStyle name="Normal 18" xfId="1697" xr:uid="{00000000-0005-0000-0000-000080030000}"/>
    <cellStyle name="Normal 2" xfId="889" xr:uid="{00000000-0005-0000-0000-000081030000}"/>
    <cellStyle name="Normal 2 10" xfId="890" xr:uid="{00000000-0005-0000-0000-000082030000}"/>
    <cellStyle name="Normal 2 10 2" xfId="1746" xr:uid="{31879562-E829-4EAD-B981-ED141389D9E7}"/>
    <cellStyle name="Normal 2 11" xfId="891" xr:uid="{00000000-0005-0000-0000-000083030000}"/>
    <cellStyle name="Normal 2 12" xfId="892" xr:uid="{00000000-0005-0000-0000-000084030000}"/>
    <cellStyle name="Normal 2 13" xfId="1701" xr:uid="{00000000-0005-0000-0000-000085030000}"/>
    <cellStyle name="Normal 2 2" xfId="893" xr:uid="{00000000-0005-0000-0000-000086030000}"/>
    <cellStyle name="Normal 2 2 2" xfId="894" xr:uid="{00000000-0005-0000-0000-000087030000}"/>
    <cellStyle name="Normal 2 3" xfId="895" xr:uid="{00000000-0005-0000-0000-000088030000}"/>
    <cellStyle name="Normal 2 3 2" xfId="1747" xr:uid="{7946FE2B-6132-4C20-9FBF-CE5739908141}"/>
    <cellStyle name="Normal 2 4" xfId="896" xr:uid="{00000000-0005-0000-0000-000089030000}"/>
    <cellStyle name="Normal 2 4 2" xfId="1748" xr:uid="{4D91004D-9137-456A-9AB9-43A94FFA5C56}"/>
    <cellStyle name="Normal 2 5" xfId="897" xr:uid="{00000000-0005-0000-0000-00008A030000}"/>
    <cellStyle name="Normal 2 5 2" xfId="1749" xr:uid="{FC2DE3D3-88CC-4D6E-B5E8-9DFAC3731DB0}"/>
    <cellStyle name="Normal 2 6" xfId="898" xr:uid="{00000000-0005-0000-0000-00008B030000}"/>
    <cellStyle name="Normal 2 6 2" xfId="1750" xr:uid="{2D2B8342-8DE8-486C-B4C5-F4041D04B4B5}"/>
    <cellStyle name="Normal 2 7" xfId="899" xr:uid="{00000000-0005-0000-0000-00008C030000}"/>
    <cellStyle name="Normal 2 8" xfId="900" xr:uid="{00000000-0005-0000-0000-00008D030000}"/>
    <cellStyle name="Normal 2 8 2" xfId="1751" xr:uid="{28589B26-07A1-4B2B-A499-698292543878}"/>
    <cellStyle name="Normal 2 9" xfId="901" xr:uid="{00000000-0005-0000-0000-00008E030000}"/>
    <cellStyle name="Normal 2_Combinación de negocios - AA-IAMv3" xfId="902" xr:uid="{00000000-0005-0000-0000-00008F030000}"/>
    <cellStyle name="Normal 3" xfId="903" xr:uid="{00000000-0005-0000-0000-000090030000}"/>
    <cellStyle name="Normal 3 2" xfId="904" xr:uid="{00000000-0005-0000-0000-000091030000}"/>
    <cellStyle name="Normal 3 2 2" xfId="1753" xr:uid="{F730A10C-2985-4895-A104-95A67C15CFAF}"/>
    <cellStyle name="Normal 3 3" xfId="1752" xr:uid="{195C5665-B4A7-4A23-BD1A-C2D367D34FC1}"/>
    <cellStyle name="Normal 4" xfId="905" xr:uid="{00000000-0005-0000-0000-000092030000}"/>
    <cellStyle name="Normal 5" xfId="906" xr:uid="{00000000-0005-0000-0000-000093030000}"/>
    <cellStyle name="Normal 6" xfId="907" xr:uid="{00000000-0005-0000-0000-000094030000}"/>
    <cellStyle name="Normal 6 2" xfId="908" xr:uid="{00000000-0005-0000-0000-000095030000}"/>
    <cellStyle name="Normal 6 2 2" xfId="1754" xr:uid="{CB371FEA-5B6D-4566-AB99-8CDFB8F57A5E}"/>
    <cellStyle name="Normal 7" xfId="909" xr:uid="{00000000-0005-0000-0000-000096030000}"/>
    <cellStyle name="Normal 8" xfId="910" xr:uid="{00000000-0005-0000-0000-000097030000}"/>
    <cellStyle name="Normal 9" xfId="911" xr:uid="{00000000-0005-0000-0000-000098030000}"/>
    <cellStyle name="Notas" xfId="912" builtinId="10" customBuiltin="1"/>
    <cellStyle name="Notas 10" xfId="913" xr:uid="{00000000-0005-0000-0000-00009A030000}"/>
    <cellStyle name="Notas 11" xfId="1755" xr:uid="{1D02760F-599F-442E-8AC1-44D5272A8799}"/>
    <cellStyle name="Notas 2" xfId="914" xr:uid="{00000000-0005-0000-0000-00009B030000}"/>
    <cellStyle name="Notas 2 2" xfId="915" xr:uid="{00000000-0005-0000-0000-00009C030000}"/>
    <cellStyle name="Notas 2 3" xfId="916" xr:uid="{00000000-0005-0000-0000-00009D030000}"/>
    <cellStyle name="Notas 2 4" xfId="917" xr:uid="{00000000-0005-0000-0000-00009E030000}"/>
    <cellStyle name="Notas 2 5" xfId="918" xr:uid="{00000000-0005-0000-0000-00009F030000}"/>
    <cellStyle name="Notas 2 6" xfId="919" xr:uid="{00000000-0005-0000-0000-0000A0030000}"/>
    <cellStyle name="Notas 3" xfId="920" xr:uid="{00000000-0005-0000-0000-0000A1030000}"/>
    <cellStyle name="Notas 3 2" xfId="921" xr:uid="{00000000-0005-0000-0000-0000A2030000}"/>
    <cellStyle name="Notas 3 3" xfId="922" xr:uid="{00000000-0005-0000-0000-0000A3030000}"/>
    <cellStyle name="Notas 3 4" xfId="923" xr:uid="{00000000-0005-0000-0000-0000A4030000}"/>
    <cellStyle name="Notas 3 5" xfId="924" xr:uid="{00000000-0005-0000-0000-0000A5030000}"/>
    <cellStyle name="Notas 4" xfId="925" xr:uid="{00000000-0005-0000-0000-0000A6030000}"/>
    <cellStyle name="Notas 4 2" xfId="926" xr:uid="{00000000-0005-0000-0000-0000A7030000}"/>
    <cellStyle name="Notas 4 3" xfId="927" xr:uid="{00000000-0005-0000-0000-0000A8030000}"/>
    <cellStyle name="Notas 4 4" xfId="928" xr:uid="{00000000-0005-0000-0000-0000A9030000}"/>
    <cellStyle name="Notas 4 5" xfId="929" xr:uid="{00000000-0005-0000-0000-0000AA030000}"/>
    <cellStyle name="Notas 5" xfId="930" xr:uid="{00000000-0005-0000-0000-0000AB030000}"/>
    <cellStyle name="Notas 5 2" xfId="931" xr:uid="{00000000-0005-0000-0000-0000AC030000}"/>
    <cellStyle name="Notas 5 3" xfId="932" xr:uid="{00000000-0005-0000-0000-0000AD030000}"/>
    <cellStyle name="Notas 5 4" xfId="933" xr:uid="{00000000-0005-0000-0000-0000AE030000}"/>
    <cellStyle name="Notas 5 5" xfId="934" xr:uid="{00000000-0005-0000-0000-0000AF030000}"/>
    <cellStyle name="Notas 6" xfId="935" xr:uid="{00000000-0005-0000-0000-0000B0030000}"/>
    <cellStyle name="Notas 6 2" xfId="936" xr:uid="{00000000-0005-0000-0000-0000B1030000}"/>
    <cellStyle name="Notas 6 2 2" xfId="1756" xr:uid="{C6B9C2FC-78F0-469D-8253-4A28E0B0E31D}"/>
    <cellStyle name="Notas 7" xfId="937" xr:uid="{00000000-0005-0000-0000-0000B2030000}"/>
    <cellStyle name="Notas 8" xfId="938" xr:uid="{00000000-0005-0000-0000-0000B3030000}"/>
    <cellStyle name="Notas 9" xfId="939" xr:uid="{00000000-0005-0000-0000-0000B4030000}"/>
    <cellStyle name="Note" xfId="940" xr:uid="{00000000-0005-0000-0000-0000B5030000}"/>
    <cellStyle name="Note 2" xfId="941" xr:uid="{00000000-0005-0000-0000-0000B6030000}"/>
    <cellStyle name="Note 3" xfId="942" xr:uid="{00000000-0005-0000-0000-0000B7030000}"/>
    <cellStyle name="Note 4" xfId="943" xr:uid="{00000000-0005-0000-0000-0000B8030000}"/>
    <cellStyle name="Note 5" xfId="944" xr:uid="{00000000-0005-0000-0000-0000B9030000}"/>
    <cellStyle name="Note 6" xfId="945" xr:uid="{00000000-0005-0000-0000-0000BA030000}"/>
    <cellStyle name="Note 7" xfId="946" xr:uid="{00000000-0005-0000-0000-0000BB030000}"/>
    <cellStyle name="Note 8" xfId="947" xr:uid="{00000000-0005-0000-0000-0000BC030000}"/>
    <cellStyle name="Obliczenia" xfId="948" xr:uid="{00000000-0005-0000-0000-0000BD030000}"/>
    <cellStyle name="Output" xfId="949" xr:uid="{00000000-0005-0000-0000-0000BE030000}"/>
    <cellStyle name="Porcentaje" xfId="950" builtinId="5"/>
    <cellStyle name="Porcentaje 2" xfId="1699" xr:uid="{00000000-0005-0000-0000-0000C0030000}"/>
    <cellStyle name="Porcentual 10" xfId="951" xr:uid="{00000000-0005-0000-0000-0000C1030000}"/>
    <cellStyle name="Porcentual 10 2" xfId="952" xr:uid="{00000000-0005-0000-0000-0000C2030000}"/>
    <cellStyle name="Porcentual 10 2 2" xfId="1758" xr:uid="{49D92A33-2E18-4E78-AD4A-716A9891050E}"/>
    <cellStyle name="Porcentual 10 3" xfId="1757" xr:uid="{02E89127-5386-4760-9503-0ADE2D8DDC78}"/>
    <cellStyle name="Porcentual 11" xfId="953" xr:uid="{00000000-0005-0000-0000-0000C3030000}"/>
    <cellStyle name="Porcentual 11 2" xfId="954" xr:uid="{00000000-0005-0000-0000-0000C4030000}"/>
    <cellStyle name="Porcentual 11 2 2" xfId="1760" xr:uid="{CE135FF3-7F1C-48BB-BCF1-0A5DEB74922B}"/>
    <cellStyle name="Porcentual 11 3" xfId="1759" xr:uid="{851AB0B2-9A66-462D-B874-FA50AECFF454}"/>
    <cellStyle name="Porcentual 2" xfId="955" xr:uid="{00000000-0005-0000-0000-0000C5030000}"/>
    <cellStyle name="Porcentual 2 2" xfId="956" xr:uid="{00000000-0005-0000-0000-0000C6030000}"/>
    <cellStyle name="Porcentual 2 3" xfId="1761" xr:uid="{304D5895-1AB6-4265-BB33-CC4DAC7E2169}"/>
    <cellStyle name="Porcentual 3" xfId="957" xr:uid="{00000000-0005-0000-0000-0000C7030000}"/>
    <cellStyle name="Porcentual 3 2" xfId="1762" xr:uid="{7CC4CD80-1E0D-408D-ACD0-A40241514B52}"/>
    <cellStyle name="Porcentual 4" xfId="958" xr:uid="{00000000-0005-0000-0000-0000C8030000}"/>
    <cellStyle name="Porcentual 4 2" xfId="959" xr:uid="{00000000-0005-0000-0000-0000C9030000}"/>
    <cellStyle name="Porcentual 5" xfId="960" xr:uid="{00000000-0005-0000-0000-0000CA030000}"/>
    <cellStyle name="Porcentual 5 2" xfId="961" xr:uid="{00000000-0005-0000-0000-0000CB030000}"/>
    <cellStyle name="Porcentual 5 2 2" xfId="1764" xr:uid="{7A33E7EC-C94B-49FC-90A3-E934F4B864B2}"/>
    <cellStyle name="Porcentual 5 3" xfId="1763" xr:uid="{69E015D3-BB42-486B-8BD9-3C5A50823AFC}"/>
    <cellStyle name="Porcentual 6" xfId="962" xr:uid="{00000000-0005-0000-0000-0000CC030000}"/>
    <cellStyle name="Porcentual 7" xfId="963" xr:uid="{00000000-0005-0000-0000-0000CD030000}"/>
    <cellStyle name="Porcentual 7 2" xfId="964" xr:uid="{00000000-0005-0000-0000-0000CE030000}"/>
    <cellStyle name="Porcentual 8" xfId="965" xr:uid="{00000000-0005-0000-0000-0000CF030000}"/>
    <cellStyle name="Porcentual 8 2" xfId="966" xr:uid="{00000000-0005-0000-0000-0000D0030000}"/>
    <cellStyle name="Porcentual 8 2 2" xfId="1766" xr:uid="{9B4B42FB-5000-493A-94CB-DB74C6B2FE64}"/>
    <cellStyle name="Porcentual 8 3" xfId="1765" xr:uid="{0B46BF87-9366-4604-BA4C-260B5F6629A0}"/>
    <cellStyle name="Porcentual 9" xfId="967" xr:uid="{00000000-0005-0000-0000-0000D1030000}"/>
    <cellStyle name="Salida" xfId="968" builtinId="21" customBuiltin="1"/>
    <cellStyle name="Salida 2" xfId="969" xr:uid="{00000000-0005-0000-0000-0000D3030000}"/>
    <cellStyle name="Salida 2 2" xfId="970" xr:uid="{00000000-0005-0000-0000-0000D4030000}"/>
    <cellStyle name="Salida 2 3" xfId="971" xr:uid="{00000000-0005-0000-0000-0000D5030000}"/>
    <cellStyle name="Salida 2 4" xfId="972" xr:uid="{00000000-0005-0000-0000-0000D6030000}"/>
    <cellStyle name="Salida 2 5" xfId="973" xr:uid="{00000000-0005-0000-0000-0000D7030000}"/>
    <cellStyle name="Salida 2 6" xfId="974" xr:uid="{00000000-0005-0000-0000-0000D8030000}"/>
    <cellStyle name="Salida 3" xfId="975" xr:uid="{00000000-0005-0000-0000-0000D9030000}"/>
    <cellStyle name="Salida 3 2" xfId="976" xr:uid="{00000000-0005-0000-0000-0000DA030000}"/>
    <cellStyle name="Salida 3 3" xfId="977" xr:uid="{00000000-0005-0000-0000-0000DB030000}"/>
    <cellStyle name="Salida 3 4" xfId="978" xr:uid="{00000000-0005-0000-0000-0000DC030000}"/>
    <cellStyle name="Salida 3 5" xfId="979" xr:uid="{00000000-0005-0000-0000-0000DD030000}"/>
    <cellStyle name="Salida 4" xfId="980" xr:uid="{00000000-0005-0000-0000-0000DE030000}"/>
    <cellStyle name="Salida 4 2" xfId="981" xr:uid="{00000000-0005-0000-0000-0000DF030000}"/>
    <cellStyle name="Salida 4 3" xfId="982" xr:uid="{00000000-0005-0000-0000-0000E0030000}"/>
    <cellStyle name="Salida 4 4" xfId="983" xr:uid="{00000000-0005-0000-0000-0000E1030000}"/>
    <cellStyle name="Salida 4 5" xfId="984" xr:uid="{00000000-0005-0000-0000-0000E2030000}"/>
    <cellStyle name="Salida 5" xfId="985" xr:uid="{00000000-0005-0000-0000-0000E3030000}"/>
    <cellStyle name="Salida 5 2" xfId="986" xr:uid="{00000000-0005-0000-0000-0000E4030000}"/>
    <cellStyle name="Salida 5 3" xfId="987" xr:uid="{00000000-0005-0000-0000-0000E5030000}"/>
    <cellStyle name="Salida 5 4" xfId="988" xr:uid="{00000000-0005-0000-0000-0000E6030000}"/>
    <cellStyle name="Salida 5 5" xfId="989" xr:uid="{00000000-0005-0000-0000-0000E7030000}"/>
    <cellStyle name="Salida 6" xfId="990" xr:uid="{00000000-0005-0000-0000-0000E8030000}"/>
    <cellStyle name="Salida 6 2" xfId="991" xr:uid="{00000000-0005-0000-0000-0000E9030000}"/>
    <cellStyle name="Salida 7" xfId="992" xr:uid="{00000000-0005-0000-0000-0000EA030000}"/>
    <cellStyle name="Salida 8" xfId="993" xr:uid="{00000000-0005-0000-0000-0000EB030000}"/>
    <cellStyle name="Salida 9" xfId="994" xr:uid="{00000000-0005-0000-0000-0000EC030000}"/>
    <cellStyle name="SAPBEXaggData" xfId="995" xr:uid="{00000000-0005-0000-0000-0000ED030000}"/>
    <cellStyle name="SAPBEXaggData 10" xfId="996" xr:uid="{00000000-0005-0000-0000-0000EE030000}"/>
    <cellStyle name="SAPBEXaggData 11" xfId="997" xr:uid="{00000000-0005-0000-0000-0000EF030000}"/>
    <cellStyle name="SAPBEXaggData 2" xfId="998" xr:uid="{00000000-0005-0000-0000-0000F0030000}"/>
    <cellStyle name="SAPBEXaggData 2 2" xfId="999" xr:uid="{00000000-0005-0000-0000-0000F1030000}"/>
    <cellStyle name="SAPBEXaggData 2 2 2" xfId="1000" xr:uid="{00000000-0005-0000-0000-0000F2030000}"/>
    <cellStyle name="SAPBEXaggData 3" xfId="1001" xr:uid="{00000000-0005-0000-0000-0000F3030000}"/>
    <cellStyle name="SAPBEXaggData 4" xfId="1002" xr:uid="{00000000-0005-0000-0000-0000F4030000}"/>
    <cellStyle name="SAPBEXaggData 5" xfId="1003" xr:uid="{00000000-0005-0000-0000-0000F5030000}"/>
    <cellStyle name="SAPBEXaggData 6" xfId="1004" xr:uid="{00000000-0005-0000-0000-0000F6030000}"/>
    <cellStyle name="SAPBEXaggData 7" xfId="1005" xr:uid="{00000000-0005-0000-0000-0000F7030000}"/>
    <cellStyle name="SAPBEXaggData 8" xfId="1006" xr:uid="{00000000-0005-0000-0000-0000F8030000}"/>
    <cellStyle name="SAPBEXaggData 9" xfId="1007" xr:uid="{00000000-0005-0000-0000-0000F9030000}"/>
    <cellStyle name="SAPBEXaggData_gxaccion, 68" xfId="1008" xr:uid="{00000000-0005-0000-0000-0000FA030000}"/>
    <cellStyle name="SAPBEXaggDataEmph" xfId="1009" xr:uid="{00000000-0005-0000-0000-0000FB030000}"/>
    <cellStyle name="SAPBEXaggDataEmph 10" xfId="1010" xr:uid="{00000000-0005-0000-0000-0000FC030000}"/>
    <cellStyle name="SAPBEXaggDataEmph 11" xfId="1011" xr:uid="{00000000-0005-0000-0000-0000FD030000}"/>
    <cellStyle name="SAPBEXaggDataEmph 2" xfId="1012" xr:uid="{00000000-0005-0000-0000-0000FE030000}"/>
    <cellStyle name="SAPBEXaggDataEmph 2 2" xfId="1013" xr:uid="{00000000-0005-0000-0000-0000FF030000}"/>
    <cellStyle name="SAPBEXaggDataEmph 2 2 2" xfId="1014" xr:uid="{00000000-0005-0000-0000-000000040000}"/>
    <cellStyle name="SAPBEXaggDataEmph 3" xfId="1015" xr:uid="{00000000-0005-0000-0000-000001040000}"/>
    <cellStyle name="SAPBEXaggDataEmph 4" xfId="1016" xr:uid="{00000000-0005-0000-0000-000002040000}"/>
    <cellStyle name="SAPBEXaggDataEmph 5" xfId="1017" xr:uid="{00000000-0005-0000-0000-000003040000}"/>
    <cellStyle name="SAPBEXaggDataEmph 6" xfId="1018" xr:uid="{00000000-0005-0000-0000-000004040000}"/>
    <cellStyle name="SAPBEXaggDataEmph 7" xfId="1019" xr:uid="{00000000-0005-0000-0000-000005040000}"/>
    <cellStyle name="SAPBEXaggDataEmph 8" xfId="1020" xr:uid="{00000000-0005-0000-0000-000006040000}"/>
    <cellStyle name="SAPBEXaggDataEmph 9" xfId="1021" xr:uid="{00000000-0005-0000-0000-000007040000}"/>
    <cellStyle name="SAPBEXaggDataEmph_valor justo.junio2010" xfId="1022" xr:uid="{00000000-0005-0000-0000-000008040000}"/>
    <cellStyle name="SAPBEXaggItem" xfId="1023" xr:uid="{00000000-0005-0000-0000-000009040000}"/>
    <cellStyle name="SAPBEXaggItem 10" xfId="1024" xr:uid="{00000000-0005-0000-0000-00000A040000}"/>
    <cellStyle name="SAPBEXaggItem 11" xfId="1025" xr:uid="{00000000-0005-0000-0000-00000B040000}"/>
    <cellStyle name="SAPBEXaggItem 2" xfId="1026" xr:uid="{00000000-0005-0000-0000-00000C040000}"/>
    <cellStyle name="SAPBEXaggItem 2 2" xfId="1027" xr:uid="{00000000-0005-0000-0000-00000D040000}"/>
    <cellStyle name="SAPBEXaggItem 2 2 2" xfId="1028" xr:uid="{00000000-0005-0000-0000-00000E040000}"/>
    <cellStyle name="SAPBEXaggItem 3" xfId="1029" xr:uid="{00000000-0005-0000-0000-00000F040000}"/>
    <cellStyle name="SAPBEXaggItem 4" xfId="1030" xr:uid="{00000000-0005-0000-0000-000010040000}"/>
    <cellStyle name="SAPBEXaggItem 5" xfId="1031" xr:uid="{00000000-0005-0000-0000-000011040000}"/>
    <cellStyle name="SAPBEXaggItem 6" xfId="1032" xr:uid="{00000000-0005-0000-0000-000012040000}"/>
    <cellStyle name="SAPBEXaggItem 7" xfId="1033" xr:uid="{00000000-0005-0000-0000-000013040000}"/>
    <cellStyle name="SAPBEXaggItem 8" xfId="1034" xr:uid="{00000000-0005-0000-0000-000014040000}"/>
    <cellStyle name="SAPBEXaggItem 9" xfId="1035" xr:uid="{00000000-0005-0000-0000-000015040000}"/>
    <cellStyle name="SAPBEXaggItem_gxaccion, 68" xfId="1036" xr:uid="{00000000-0005-0000-0000-000016040000}"/>
    <cellStyle name="SAPBEXaggItemX" xfId="1037" xr:uid="{00000000-0005-0000-0000-000017040000}"/>
    <cellStyle name="SAPBEXaggItemX 10" xfId="1038" xr:uid="{00000000-0005-0000-0000-000018040000}"/>
    <cellStyle name="SAPBEXaggItemX 11" xfId="1039" xr:uid="{00000000-0005-0000-0000-000019040000}"/>
    <cellStyle name="SAPBEXaggItemX 2" xfId="1040" xr:uid="{00000000-0005-0000-0000-00001A040000}"/>
    <cellStyle name="SAPBEXaggItemX 2 2" xfId="1041" xr:uid="{00000000-0005-0000-0000-00001B040000}"/>
    <cellStyle name="SAPBEXaggItemX 2 2 2" xfId="1042" xr:uid="{00000000-0005-0000-0000-00001C040000}"/>
    <cellStyle name="SAPBEXaggItemX 3" xfId="1043" xr:uid="{00000000-0005-0000-0000-00001D040000}"/>
    <cellStyle name="SAPBEXaggItemX 4" xfId="1044" xr:uid="{00000000-0005-0000-0000-00001E040000}"/>
    <cellStyle name="SAPBEXaggItemX 5" xfId="1045" xr:uid="{00000000-0005-0000-0000-00001F040000}"/>
    <cellStyle name="SAPBEXaggItemX 6" xfId="1046" xr:uid="{00000000-0005-0000-0000-000020040000}"/>
    <cellStyle name="SAPBEXaggItemX 7" xfId="1047" xr:uid="{00000000-0005-0000-0000-000021040000}"/>
    <cellStyle name="SAPBEXaggItemX 8" xfId="1048" xr:uid="{00000000-0005-0000-0000-000022040000}"/>
    <cellStyle name="SAPBEXaggItemX 9" xfId="1049" xr:uid="{00000000-0005-0000-0000-000023040000}"/>
    <cellStyle name="SAPBEXaggItemX_valor justo.junio2010" xfId="1050" xr:uid="{00000000-0005-0000-0000-000024040000}"/>
    <cellStyle name="SAPBEXchaText" xfId="1051" xr:uid="{00000000-0005-0000-0000-000025040000}"/>
    <cellStyle name="SAPBEXchaText 10" xfId="1052" xr:uid="{00000000-0005-0000-0000-000026040000}"/>
    <cellStyle name="SAPBEXchaText 11" xfId="1053" xr:uid="{00000000-0005-0000-0000-000027040000}"/>
    <cellStyle name="SAPBEXchaText 2" xfId="1054" xr:uid="{00000000-0005-0000-0000-000028040000}"/>
    <cellStyle name="SAPBEXchaText 2 2" xfId="1055" xr:uid="{00000000-0005-0000-0000-000029040000}"/>
    <cellStyle name="SAPBEXchaText 2 2 2" xfId="1056" xr:uid="{00000000-0005-0000-0000-00002A040000}"/>
    <cellStyle name="SAPBEXchaText 3" xfId="1057" xr:uid="{00000000-0005-0000-0000-00002B040000}"/>
    <cellStyle name="SAPBEXchaText 4" xfId="1058" xr:uid="{00000000-0005-0000-0000-00002C040000}"/>
    <cellStyle name="SAPBEXchaText 5" xfId="1059" xr:uid="{00000000-0005-0000-0000-00002D040000}"/>
    <cellStyle name="SAPBEXchaText 6" xfId="1060" xr:uid="{00000000-0005-0000-0000-00002E040000}"/>
    <cellStyle name="SAPBEXchaText 7" xfId="1061" xr:uid="{00000000-0005-0000-0000-00002F040000}"/>
    <cellStyle name="SAPBEXchaText 8" xfId="1062" xr:uid="{00000000-0005-0000-0000-000030040000}"/>
    <cellStyle name="SAPBEXchaText 9" xfId="1063" xr:uid="{00000000-0005-0000-0000-000031040000}"/>
    <cellStyle name="SAPBEXchaText_gxaccion, 68" xfId="1064" xr:uid="{00000000-0005-0000-0000-000032040000}"/>
    <cellStyle name="SAPBEXexcBad7" xfId="1065" xr:uid="{00000000-0005-0000-0000-000033040000}"/>
    <cellStyle name="SAPBEXexcBad7 10" xfId="1066" xr:uid="{00000000-0005-0000-0000-000034040000}"/>
    <cellStyle name="SAPBEXexcBad7 11" xfId="1067" xr:uid="{00000000-0005-0000-0000-000035040000}"/>
    <cellStyle name="SAPBEXexcBad7 2" xfId="1068" xr:uid="{00000000-0005-0000-0000-000036040000}"/>
    <cellStyle name="SAPBEXexcBad7 2 2" xfId="1069" xr:uid="{00000000-0005-0000-0000-000037040000}"/>
    <cellStyle name="SAPBEXexcBad7 2 2 2" xfId="1070" xr:uid="{00000000-0005-0000-0000-000038040000}"/>
    <cellStyle name="SAPBEXexcBad7 3" xfId="1071" xr:uid="{00000000-0005-0000-0000-000039040000}"/>
    <cellStyle name="SAPBEXexcBad7 4" xfId="1072" xr:uid="{00000000-0005-0000-0000-00003A040000}"/>
    <cellStyle name="SAPBEXexcBad7 5" xfId="1073" xr:uid="{00000000-0005-0000-0000-00003B040000}"/>
    <cellStyle name="SAPBEXexcBad7 6" xfId="1074" xr:uid="{00000000-0005-0000-0000-00003C040000}"/>
    <cellStyle name="SAPBEXexcBad7 7" xfId="1075" xr:uid="{00000000-0005-0000-0000-00003D040000}"/>
    <cellStyle name="SAPBEXexcBad7 8" xfId="1076" xr:uid="{00000000-0005-0000-0000-00003E040000}"/>
    <cellStyle name="SAPBEXexcBad7 9" xfId="1077" xr:uid="{00000000-0005-0000-0000-00003F040000}"/>
    <cellStyle name="SAPBEXexcBad7_gxaccion, 68" xfId="1078" xr:uid="{00000000-0005-0000-0000-000040040000}"/>
    <cellStyle name="SAPBEXexcBad8" xfId="1079" xr:uid="{00000000-0005-0000-0000-000041040000}"/>
    <cellStyle name="SAPBEXexcBad8 10" xfId="1080" xr:uid="{00000000-0005-0000-0000-000042040000}"/>
    <cellStyle name="SAPBEXexcBad8 11" xfId="1081" xr:uid="{00000000-0005-0000-0000-000043040000}"/>
    <cellStyle name="SAPBEXexcBad8 2" xfId="1082" xr:uid="{00000000-0005-0000-0000-000044040000}"/>
    <cellStyle name="SAPBEXexcBad8 2 2" xfId="1083" xr:uid="{00000000-0005-0000-0000-000045040000}"/>
    <cellStyle name="SAPBEXexcBad8 2 2 2" xfId="1084" xr:uid="{00000000-0005-0000-0000-000046040000}"/>
    <cellStyle name="SAPBEXexcBad8 3" xfId="1085" xr:uid="{00000000-0005-0000-0000-000047040000}"/>
    <cellStyle name="SAPBEXexcBad8 4" xfId="1086" xr:uid="{00000000-0005-0000-0000-000048040000}"/>
    <cellStyle name="SAPBEXexcBad8 5" xfId="1087" xr:uid="{00000000-0005-0000-0000-000049040000}"/>
    <cellStyle name="SAPBEXexcBad8 6" xfId="1088" xr:uid="{00000000-0005-0000-0000-00004A040000}"/>
    <cellStyle name="SAPBEXexcBad8 7" xfId="1089" xr:uid="{00000000-0005-0000-0000-00004B040000}"/>
    <cellStyle name="SAPBEXexcBad8 8" xfId="1090" xr:uid="{00000000-0005-0000-0000-00004C040000}"/>
    <cellStyle name="SAPBEXexcBad8 9" xfId="1091" xr:uid="{00000000-0005-0000-0000-00004D040000}"/>
    <cellStyle name="SAPBEXexcBad8_gxaccion, 68" xfId="1092" xr:uid="{00000000-0005-0000-0000-00004E040000}"/>
    <cellStyle name="SAPBEXexcBad9" xfId="1093" xr:uid="{00000000-0005-0000-0000-00004F040000}"/>
    <cellStyle name="SAPBEXexcBad9 10" xfId="1094" xr:uid="{00000000-0005-0000-0000-000050040000}"/>
    <cellStyle name="SAPBEXexcBad9 11" xfId="1095" xr:uid="{00000000-0005-0000-0000-000051040000}"/>
    <cellStyle name="SAPBEXexcBad9 2" xfId="1096" xr:uid="{00000000-0005-0000-0000-000052040000}"/>
    <cellStyle name="SAPBEXexcBad9 2 2" xfId="1097" xr:uid="{00000000-0005-0000-0000-000053040000}"/>
    <cellStyle name="SAPBEXexcBad9 2 2 2" xfId="1098" xr:uid="{00000000-0005-0000-0000-000054040000}"/>
    <cellStyle name="SAPBEXexcBad9 3" xfId="1099" xr:uid="{00000000-0005-0000-0000-000055040000}"/>
    <cellStyle name="SAPBEXexcBad9 4" xfId="1100" xr:uid="{00000000-0005-0000-0000-000056040000}"/>
    <cellStyle name="SAPBEXexcBad9 5" xfId="1101" xr:uid="{00000000-0005-0000-0000-000057040000}"/>
    <cellStyle name="SAPBEXexcBad9 6" xfId="1102" xr:uid="{00000000-0005-0000-0000-000058040000}"/>
    <cellStyle name="SAPBEXexcBad9 7" xfId="1103" xr:uid="{00000000-0005-0000-0000-000059040000}"/>
    <cellStyle name="SAPBEXexcBad9 8" xfId="1104" xr:uid="{00000000-0005-0000-0000-00005A040000}"/>
    <cellStyle name="SAPBEXexcBad9 9" xfId="1105" xr:uid="{00000000-0005-0000-0000-00005B040000}"/>
    <cellStyle name="SAPBEXexcBad9_gxaccion, 68" xfId="1106" xr:uid="{00000000-0005-0000-0000-00005C040000}"/>
    <cellStyle name="SAPBEXexcCritical4" xfId="1107" xr:uid="{00000000-0005-0000-0000-00005D040000}"/>
    <cellStyle name="SAPBEXexcCritical4 10" xfId="1108" xr:uid="{00000000-0005-0000-0000-00005E040000}"/>
    <cellStyle name="SAPBEXexcCritical4 11" xfId="1109" xr:uid="{00000000-0005-0000-0000-00005F040000}"/>
    <cellStyle name="SAPBEXexcCritical4 2" xfId="1110" xr:uid="{00000000-0005-0000-0000-000060040000}"/>
    <cellStyle name="SAPBEXexcCritical4 2 2" xfId="1111" xr:uid="{00000000-0005-0000-0000-000061040000}"/>
    <cellStyle name="SAPBEXexcCritical4 2 2 2" xfId="1112" xr:uid="{00000000-0005-0000-0000-000062040000}"/>
    <cellStyle name="SAPBEXexcCritical4 3" xfId="1113" xr:uid="{00000000-0005-0000-0000-000063040000}"/>
    <cellStyle name="SAPBEXexcCritical4 4" xfId="1114" xr:uid="{00000000-0005-0000-0000-000064040000}"/>
    <cellStyle name="SAPBEXexcCritical4 5" xfId="1115" xr:uid="{00000000-0005-0000-0000-000065040000}"/>
    <cellStyle name="SAPBEXexcCritical4 6" xfId="1116" xr:uid="{00000000-0005-0000-0000-000066040000}"/>
    <cellStyle name="SAPBEXexcCritical4 7" xfId="1117" xr:uid="{00000000-0005-0000-0000-000067040000}"/>
    <cellStyle name="SAPBEXexcCritical4 8" xfId="1118" xr:uid="{00000000-0005-0000-0000-000068040000}"/>
    <cellStyle name="SAPBEXexcCritical4 9" xfId="1119" xr:uid="{00000000-0005-0000-0000-000069040000}"/>
    <cellStyle name="SAPBEXexcCritical4_gxaccion, 68" xfId="1120" xr:uid="{00000000-0005-0000-0000-00006A040000}"/>
    <cellStyle name="SAPBEXexcCritical5" xfId="1121" xr:uid="{00000000-0005-0000-0000-00006B040000}"/>
    <cellStyle name="SAPBEXexcCritical5 10" xfId="1122" xr:uid="{00000000-0005-0000-0000-00006C040000}"/>
    <cellStyle name="SAPBEXexcCritical5 11" xfId="1123" xr:uid="{00000000-0005-0000-0000-00006D040000}"/>
    <cellStyle name="SAPBEXexcCritical5 2" xfId="1124" xr:uid="{00000000-0005-0000-0000-00006E040000}"/>
    <cellStyle name="SAPBEXexcCritical5 2 2" xfId="1125" xr:uid="{00000000-0005-0000-0000-00006F040000}"/>
    <cellStyle name="SAPBEXexcCritical5 2 2 2" xfId="1126" xr:uid="{00000000-0005-0000-0000-000070040000}"/>
    <cellStyle name="SAPBEXexcCritical5 3" xfId="1127" xr:uid="{00000000-0005-0000-0000-000071040000}"/>
    <cellStyle name="SAPBEXexcCritical5 4" xfId="1128" xr:uid="{00000000-0005-0000-0000-000072040000}"/>
    <cellStyle name="SAPBEXexcCritical5 5" xfId="1129" xr:uid="{00000000-0005-0000-0000-000073040000}"/>
    <cellStyle name="SAPBEXexcCritical5 6" xfId="1130" xr:uid="{00000000-0005-0000-0000-000074040000}"/>
    <cellStyle name="SAPBEXexcCritical5 7" xfId="1131" xr:uid="{00000000-0005-0000-0000-000075040000}"/>
    <cellStyle name="SAPBEXexcCritical5 8" xfId="1132" xr:uid="{00000000-0005-0000-0000-000076040000}"/>
    <cellStyle name="SAPBEXexcCritical5 9" xfId="1133" xr:uid="{00000000-0005-0000-0000-000077040000}"/>
    <cellStyle name="SAPBEXexcCritical5_gxaccion, 68" xfId="1134" xr:uid="{00000000-0005-0000-0000-000078040000}"/>
    <cellStyle name="SAPBEXexcCritical6" xfId="1135" xr:uid="{00000000-0005-0000-0000-000079040000}"/>
    <cellStyle name="SAPBEXexcCritical6 10" xfId="1136" xr:uid="{00000000-0005-0000-0000-00007A040000}"/>
    <cellStyle name="SAPBEXexcCritical6 11" xfId="1137" xr:uid="{00000000-0005-0000-0000-00007B040000}"/>
    <cellStyle name="SAPBEXexcCritical6 2" xfId="1138" xr:uid="{00000000-0005-0000-0000-00007C040000}"/>
    <cellStyle name="SAPBEXexcCritical6 2 2" xfId="1139" xr:uid="{00000000-0005-0000-0000-00007D040000}"/>
    <cellStyle name="SAPBEXexcCritical6 2 2 2" xfId="1140" xr:uid="{00000000-0005-0000-0000-00007E040000}"/>
    <cellStyle name="SAPBEXexcCritical6 3" xfId="1141" xr:uid="{00000000-0005-0000-0000-00007F040000}"/>
    <cellStyle name="SAPBEXexcCritical6 4" xfId="1142" xr:uid="{00000000-0005-0000-0000-000080040000}"/>
    <cellStyle name="SAPBEXexcCritical6 5" xfId="1143" xr:uid="{00000000-0005-0000-0000-000081040000}"/>
    <cellStyle name="SAPBEXexcCritical6 6" xfId="1144" xr:uid="{00000000-0005-0000-0000-000082040000}"/>
    <cellStyle name="SAPBEXexcCritical6 7" xfId="1145" xr:uid="{00000000-0005-0000-0000-000083040000}"/>
    <cellStyle name="SAPBEXexcCritical6 8" xfId="1146" xr:uid="{00000000-0005-0000-0000-000084040000}"/>
    <cellStyle name="SAPBEXexcCritical6 9" xfId="1147" xr:uid="{00000000-0005-0000-0000-000085040000}"/>
    <cellStyle name="SAPBEXexcCritical6_gxaccion, 68" xfId="1148" xr:uid="{00000000-0005-0000-0000-000086040000}"/>
    <cellStyle name="SAPBEXexcGood1" xfId="1149" xr:uid="{00000000-0005-0000-0000-000087040000}"/>
    <cellStyle name="SAPBEXexcGood1 10" xfId="1150" xr:uid="{00000000-0005-0000-0000-000088040000}"/>
    <cellStyle name="SAPBEXexcGood1 11" xfId="1151" xr:uid="{00000000-0005-0000-0000-000089040000}"/>
    <cellStyle name="SAPBEXexcGood1 2" xfId="1152" xr:uid="{00000000-0005-0000-0000-00008A040000}"/>
    <cellStyle name="SAPBEXexcGood1 2 2" xfId="1153" xr:uid="{00000000-0005-0000-0000-00008B040000}"/>
    <cellStyle name="SAPBEXexcGood1 2 2 2" xfId="1154" xr:uid="{00000000-0005-0000-0000-00008C040000}"/>
    <cellStyle name="SAPBEXexcGood1 3" xfId="1155" xr:uid="{00000000-0005-0000-0000-00008D040000}"/>
    <cellStyle name="SAPBEXexcGood1 4" xfId="1156" xr:uid="{00000000-0005-0000-0000-00008E040000}"/>
    <cellStyle name="SAPBEXexcGood1 5" xfId="1157" xr:uid="{00000000-0005-0000-0000-00008F040000}"/>
    <cellStyle name="SAPBEXexcGood1 6" xfId="1158" xr:uid="{00000000-0005-0000-0000-000090040000}"/>
    <cellStyle name="SAPBEXexcGood1 7" xfId="1159" xr:uid="{00000000-0005-0000-0000-000091040000}"/>
    <cellStyle name="SAPBEXexcGood1 8" xfId="1160" xr:uid="{00000000-0005-0000-0000-000092040000}"/>
    <cellStyle name="SAPBEXexcGood1 9" xfId="1161" xr:uid="{00000000-0005-0000-0000-000093040000}"/>
    <cellStyle name="SAPBEXexcGood1_gxaccion, 68" xfId="1162" xr:uid="{00000000-0005-0000-0000-000094040000}"/>
    <cellStyle name="SAPBEXexcGood2" xfId="1163" xr:uid="{00000000-0005-0000-0000-000095040000}"/>
    <cellStyle name="SAPBEXexcGood2 10" xfId="1164" xr:uid="{00000000-0005-0000-0000-000096040000}"/>
    <cellStyle name="SAPBEXexcGood2 11" xfId="1165" xr:uid="{00000000-0005-0000-0000-000097040000}"/>
    <cellStyle name="SAPBEXexcGood2 2" xfId="1166" xr:uid="{00000000-0005-0000-0000-000098040000}"/>
    <cellStyle name="SAPBEXexcGood2 2 2" xfId="1167" xr:uid="{00000000-0005-0000-0000-000099040000}"/>
    <cellStyle name="SAPBEXexcGood2 2 2 2" xfId="1168" xr:uid="{00000000-0005-0000-0000-00009A040000}"/>
    <cellStyle name="SAPBEXexcGood2 3" xfId="1169" xr:uid="{00000000-0005-0000-0000-00009B040000}"/>
    <cellStyle name="SAPBEXexcGood2 4" xfId="1170" xr:uid="{00000000-0005-0000-0000-00009C040000}"/>
    <cellStyle name="SAPBEXexcGood2 5" xfId="1171" xr:uid="{00000000-0005-0000-0000-00009D040000}"/>
    <cellStyle name="SAPBEXexcGood2 6" xfId="1172" xr:uid="{00000000-0005-0000-0000-00009E040000}"/>
    <cellStyle name="SAPBEXexcGood2 7" xfId="1173" xr:uid="{00000000-0005-0000-0000-00009F040000}"/>
    <cellStyle name="SAPBEXexcGood2 8" xfId="1174" xr:uid="{00000000-0005-0000-0000-0000A0040000}"/>
    <cellStyle name="SAPBEXexcGood2 9" xfId="1175" xr:uid="{00000000-0005-0000-0000-0000A1040000}"/>
    <cellStyle name="SAPBEXexcGood2_gxaccion, 68" xfId="1176" xr:uid="{00000000-0005-0000-0000-0000A2040000}"/>
    <cellStyle name="SAPBEXexcGood3" xfId="1177" xr:uid="{00000000-0005-0000-0000-0000A3040000}"/>
    <cellStyle name="SAPBEXexcGood3 10" xfId="1178" xr:uid="{00000000-0005-0000-0000-0000A4040000}"/>
    <cellStyle name="SAPBEXexcGood3 11" xfId="1179" xr:uid="{00000000-0005-0000-0000-0000A5040000}"/>
    <cellStyle name="SAPBEXexcGood3 2" xfId="1180" xr:uid="{00000000-0005-0000-0000-0000A6040000}"/>
    <cellStyle name="SAPBEXexcGood3 2 2" xfId="1181" xr:uid="{00000000-0005-0000-0000-0000A7040000}"/>
    <cellStyle name="SAPBEXexcGood3 2 2 2" xfId="1182" xr:uid="{00000000-0005-0000-0000-0000A8040000}"/>
    <cellStyle name="SAPBEXexcGood3 3" xfId="1183" xr:uid="{00000000-0005-0000-0000-0000A9040000}"/>
    <cellStyle name="SAPBEXexcGood3 4" xfId="1184" xr:uid="{00000000-0005-0000-0000-0000AA040000}"/>
    <cellStyle name="SAPBEXexcGood3 5" xfId="1185" xr:uid="{00000000-0005-0000-0000-0000AB040000}"/>
    <cellStyle name="SAPBEXexcGood3 6" xfId="1186" xr:uid="{00000000-0005-0000-0000-0000AC040000}"/>
    <cellStyle name="SAPBEXexcGood3 7" xfId="1187" xr:uid="{00000000-0005-0000-0000-0000AD040000}"/>
    <cellStyle name="SAPBEXexcGood3 8" xfId="1188" xr:uid="{00000000-0005-0000-0000-0000AE040000}"/>
    <cellStyle name="SAPBEXexcGood3 9" xfId="1189" xr:uid="{00000000-0005-0000-0000-0000AF040000}"/>
    <cellStyle name="SAPBEXexcGood3_gxaccion, 68" xfId="1190" xr:uid="{00000000-0005-0000-0000-0000B0040000}"/>
    <cellStyle name="SAPBEXfilterDrill" xfId="1191" xr:uid="{00000000-0005-0000-0000-0000B1040000}"/>
    <cellStyle name="SAPBEXfilterDrill 10" xfId="1192" xr:uid="{00000000-0005-0000-0000-0000B2040000}"/>
    <cellStyle name="SAPBEXfilterDrill 11" xfId="1193" xr:uid="{00000000-0005-0000-0000-0000B3040000}"/>
    <cellStyle name="SAPBEXfilterDrill 2" xfId="1194" xr:uid="{00000000-0005-0000-0000-0000B4040000}"/>
    <cellStyle name="SAPBEXfilterDrill 2 2" xfId="1195" xr:uid="{00000000-0005-0000-0000-0000B5040000}"/>
    <cellStyle name="SAPBEXfilterDrill 2 2 2" xfId="1196" xr:uid="{00000000-0005-0000-0000-0000B6040000}"/>
    <cellStyle name="SAPBEXfilterDrill 3" xfId="1197" xr:uid="{00000000-0005-0000-0000-0000B7040000}"/>
    <cellStyle name="SAPBEXfilterDrill 4" xfId="1198" xr:uid="{00000000-0005-0000-0000-0000B8040000}"/>
    <cellStyle name="SAPBEXfilterDrill 5" xfId="1199" xr:uid="{00000000-0005-0000-0000-0000B9040000}"/>
    <cellStyle name="SAPBEXfilterDrill 6" xfId="1200" xr:uid="{00000000-0005-0000-0000-0000BA040000}"/>
    <cellStyle name="SAPBEXfilterDrill 7" xfId="1201" xr:uid="{00000000-0005-0000-0000-0000BB040000}"/>
    <cellStyle name="SAPBEXfilterDrill 8" xfId="1202" xr:uid="{00000000-0005-0000-0000-0000BC040000}"/>
    <cellStyle name="SAPBEXfilterDrill 9" xfId="1203" xr:uid="{00000000-0005-0000-0000-0000BD040000}"/>
    <cellStyle name="SAPBEXfilterDrill_gxaccion, 68" xfId="1204" xr:uid="{00000000-0005-0000-0000-0000BE040000}"/>
    <cellStyle name="SAPBEXfilterItem" xfId="1205" xr:uid="{00000000-0005-0000-0000-0000BF040000}"/>
    <cellStyle name="SAPBEXfilterItem 10" xfId="1206" xr:uid="{00000000-0005-0000-0000-0000C0040000}"/>
    <cellStyle name="SAPBEXfilterItem 10 2" xfId="1767" xr:uid="{962C0E09-1DAF-422A-95B2-A162E3B97E92}"/>
    <cellStyle name="SAPBEXfilterItem 11" xfId="1207" xr:uid="{00000000-0005-0000-0000-0000C1040000}"/>
    <cellStyle name="SAPBEXfilterItem 11 2" xfId="1768" xr:uid="{205A02C6-766F-4F04-AEE6-F130169354E9}"/>
    <cellStyle name="SAPBEXfilterItem 2" xfId="1208" xr:uid="{00000000-0005-0000-0000-0000C2040000}"/>
    <cellStyle name="SAPBEXfilterItem 2 2" xfId="1209" xr:uid="{00000000-0005-0000-0000-0000C3040000}"/>
    <cellStyle name="SAPBEXfilterItem 2 2 2" xfId="1210" xr:uid="{00000000-0005-0000-0000-0000C4040000}"/>
    <cellStyle name="SAPBEXfilterItem 2 2 2 2" xfId="1770" xr:uid="{91E3C490-BED4-4118-97B2-4189EDA0DFC6}"/>
    <cellStyle name="SAPBEXfilterItem 2 3" xfId="1769" xr:uid="{9D5F23E2-F0FD-49F3-8B19-995D0AEAA638}"/>
    <cellStyle name="SAPBEXfilterItem 3" xfId="1211" xr:uid="{00000000-0005-0000-0000-0000C5040000}"/>
    <cellStyle name="SAPBEXfilterItem 3 2" xfId="1771" xr:uid="{D2680581-1F77-4BDF-A529-77181780F77D}"/>
    <cellStyle name="SAPBEXfilterItem 4" xfId="1212" xr:uid="{00000000-0005-0000-0000-0000C6040000}"/>
    <cellStyle name="SAPBEXfilterItem 4 2" xfId="1772" xr:uid="{EB92AE48-E7E8-4002-92C9-E8E5562CAD0E}"/>
    <cellStyle name="SAPBEXfilterItem 5" xfId="1213" xr:uid="{00000000-0005-0000-0000-0000C7040000}"/>
    <cellStyle name="SAPBEXfilterItem 5 2" xfId="1773" xr:uid="{219C2B61-02C9-4E90-A439-25BB7A2B5DB3}"/>
    <cellStyle name="SAPBEXfilterItem 6" xfId="1214" xr:uid="{00000000-0005-0000-0000-0000C8040000}"/>
    <cellStyle name="SAPBEXfilterItem 6 2" xfId="1774" xr:uid="{D6CE6A1E-E8C9-44A1-8F1A-314DFF424DDF}"/>
    <cellStyle name="SAPBEXfilterItem 7" xfId="1215" xr:uid="{00000000-0005-0000-0000-0000C9040000}"/>
    <cellStyle name="SAPBEXfilterItem 7 2" xfId="1775" xr:uid="{FF55F0B8-29C1-4A48-A12C-5E153310E2C0}"/>
    <cellStyle name="SAPBEXfilterItem 8" xfId="1216" xr:uid="{00000000-0005-0000-0000-0000CA040000}"/>
    <cellStyle name="SAPBEXfilterItem 8 2" xfId="1776" xr:uid="{09F418B1-9EAD-4EA0-933C-00F141A1C729}"/>
    <cellStyle name="SAPBEXfilterItem 9" xfId="1217" xr:uid="{00000000-0005-0000-0000-0000CB040000}"/>
    <cellStyle name="SAPBEXfilterItem 9 2" xfId="1777" xr:uid="{4FDDD2F7-13E7-4694-8631-936E9002F87C}"/>
    <cellStyle name="SAPBEXfilterText" xfId="1218" xr:uid="{00000000-0005-0000-0000-0000CC040000}"/>
    <cellStyle name="SAPBEXfilterText 10" xfId="1219" xr:uid="{00000000-0005-0000-0000-0000CD040000}"/>
    <cellStyle name="SAPBEXfilterText 10 2" xfId="1778" xr:uid="{8B8B3966-828E-4F67-A8C6-7959A4064235}"/>
    <cellStyle name="SAPBEXfilterText 11" xfId="1220" xr:uid="{00000000-0005-0000-0000-0000CE040000}"/>
    <cellStyle name="SAPBEXfilterText 11 2" xfId="1779" xr:uid="{AC2538DB-E7C6-4210-B70C-2E1FFF0C3F87}"/>
    <cellStyle name="SAPBEXfilterText 2" xfId="1221" xr:uid="{00000000-0005-0000-0000-0000CF040000}"/>
    <cellStyle name="SAPBEXfilterText 2 2" xfId="1222" xr:uid="{00000000-0005-0000-0000-0000D0040000}"/>
    <cellStyle name="SAPBEXfilterText 2 2 2" xfId="1223" xr:uid="{00000000-0005-0000-0000-0000D1040000}"/>
    <cellStyle name="SAPBEXfilterText 2 2 2 2" xfId="1781" xr:uid="{1C88365A-F855-4E58-A6CA-4F4CC46927FE}"/>
    <cellStyle name="SAPBEXfilterText 2 3" xfId="1780" xr:uid="{B102BFFD-5F1C-4928-9D7F-E81BD350D3C6}"/>
    <cellStyle name="SAPBEXfilterText 3" xfId="1224" xr:uid="{00000000-0005-0000-0000-0000D2040000}"/>
    <cellStyle name="SAPBEXfilterText 3 2" xfId="1782" xr:uid="{5B03EA4E-2A81-44A6-AEB8-386DB4DC8D0B}"/>
    <cellStyle name="SAPBEXfilterText 4" xfId="1225" xr:uid="{00000000-0005-0000-0000-0000D3040000}"/>
    <cellStyle name="SAPBEXfilterText 4 2" xfId="1783" xr:uid="{45F2163E-4BDF-42F4-A4ED-B767DF5993A1}"/>
    <cellStyle name="SAPBEXfilterText 5" xfId="1226" xr:uid="{00000000-0005-0000-0000-0000D4040000}"/>
    <cellStyle name="SAPBEXfilterText 5 2" xfId="1784" xr:uid="{23BAF036-A794-4781-A85A-71BEAE19C028}"/>
    <cellStyle name="SAPBEXfilterText 6" xfId="1227" xr:uid="{00000000-0005-0000-0000-0000D5040000}"/>
    <cellStyle name="SAPBEXfilterText 6 2" xfId="1785" xr:uid="{12142038-B70D-4824-AE36-6A42E1885F80}"/>
    <cellStyle name="SAPBEXfilterText 7" xfId="1228" xr:uid="{00000000-0005-0000-0000-0000D6040000}"/>
    <cellStyle name="SAPBEXfilterText 7 2" xfId="1786" xr:uid="{858871F5-4AAE-4412-BB96-5D947B401A9E}"/>
    <cellStyle name="SAPBEXfilterText 8" xfId="1229" xr:uid="{00000000-0005-0000-0000-0000D7040000}"/>
    <cellStyle name="SAPBEXfilterText 8 2" xfId="1787" xr:uid="{1B85ABF8-ADC6-49D8-9B22-F19D0852435D}"/>
    <cellStyle name="SAPBEXfilterText 9" xfId="1230" xr:uid="{00000000-0005-0000-0000-0000D8040000}"/>
    <cellStyle name="SAPBEXfilterText 9 2" xfId="1788" xr:uid="{35754D5D-1670-4C35-86DE-617E8B483B95}"/>
    <cellStyle name="SAPBEXformats" xfId="1231" xr:uid="{00000000-0005-0000-0000-0000D9040000}"/>
    <cellStyle name="SAPBEXformats 10" xfId="1232" xr:uid="{00000000-0005-0000-0000-0000DA040000}"/>
    <cellStyle name="SAPBEXformats 11" xfId="1233" xr:uid="{00000000-0005-0000-0000-0000DB040000}"/>
    <cellStyle name="SAPBEXformats 2" xfId="1234" xr:uid="{00000000-0005-0000-0000-0000DC040000}"/>
    <cellStyle name="SAPBEXformats 2 2" xfId="1235" xr:uid="{00000000-0005-0000-0000-0000DD040000}"/>
    <cellStyle name="SAPBEXformats 2 2 2" xfId="1236" xr:uid="{00000000-0005-0000-0000-0000DE040000}"/>
    <cellStyle name="SAPBEXformats 3" xfId="1237" xr:uid="{00000000-0005-0000-0000-0000DF040000}"/>
    <cellStyle name="SAPBEXformats 4" xfId="1238" xr:uid="{00000000-0005-0000-0000-0000E0040000}"/>
    <cellStyle name="SAPBEXformats 5" xfId="1239" xr:uid="{00000000-0005-0000-0000-0000E1040000}"/>
    <cellStyle name="SAPBEXformats 6" xfId="1240" xr:uid="{00000000-0005-0000-0000-0000E2040000}"/>
    <cellStyle name="SAPBEXformats 7" xfId="1241" xr:uid="{00000000-0005-0000-0000-0000E3040000}"/>
    <cellStyle name="SAPBEXformats 8" xfId="1242" xr:uid="{00000000-0005-0000-0000-0000E4040000}"/>
    <cellStyle name="SAPBEXformats 9" xfId="1243" xr:uid="{00000000-0005-0000-0000-0000E5040000}"/>
    <cellStyle name="SAPBEXformats_gxaccion, 68" xfId="1244" xr:uid="{00000000-0005-0000-0000-0000E6040000}"/>
    <cellStyle name="SAPBEXheaderItem" xfId="1245" xr:uid="{00000000-0005-0000-0000-0000E7040000}"/>
    <cellStyle name="SAPBEXheaderItem 10" xfId="1246" xr:uid="{00000000-0005-0000-0000-0000E8040000}"/>
    <cellStyle name="SAPBEXheaderItem 11" xfId="1247" xr:uid="{00000000-0005-0000-0000-0000E9040000}"/>
    <cellStyle name="SAPBEXheaderItem 2" xfId="1248" xr:uid="{00000000-0005-0000-0000-0000EA040000}"/>
    <cellStyle name="SAPBEXheaderItem 2 2" xfId="1249" xr:uid="{00000000-0005-0000-0000-0000EB040000}"/>
    <cellStyle name="SAPBEXheaderItem 2 2 2" xfId="1250" xr:uid="{00000000-0005-0000-0000-0000EC040000}"/>
    <cellStyle name="SAPBEXheaderItem 3" xfId="1251" xr:uid="{00000000-0005-0000-0000-0000ED040000}"/>
    <cellStyle name="SAPBEXheaderItem 4" xfId="1252" xr:uid="{00000000-0005-0000-0000-0000EE040000}"/>
    <cellStyle name="SAPBEXheaderItem 5" xfId="1253" xr:uid="{00000000-0005-0000-0000-0000EF040000}"/>
    <cellStyle name="SAPBEXheaderItem 6" xfId="1254" xr:uid="{00000000-0005-0000-0000-0000F0040000}"/>
    <cellStyle name="SAPBEXheaderItem 7" xfId="1255" xr:uid="{00000000-0005-0000-0000-0000F1040000}"/>
    <cellStyle name="SAPBEXheaderItem 8" xfId="1256" xr:uid="{00000000-0005-0000-0000-0000F2040000}"/>
    <cellStyle name="SAPBEXheaderItem 9" xfId="1257" xr:uid="{00000000-0005-0000-0000-0000F3040000}"/>
    <cellStyle name="SAPBEXheaderItem_gxaccion, 68" xfId="1258" xr:uid="{00000000-0005-0000-0000-0000F4040000}"/>
    <cellStyle name="SAPBEXheaderText" xfId="1259" xr:uid="{00000000-0005-0000-0000-0000F5040000}"/>
    <cellStyle name="SAPBEXheaderText 10" xfId="1260" xr:uid="{00000000-0005-0000-0000-0000F6040000}"/>
    <cellStyle name="SAPBEXheaderText 11" xfId="1261" xr:uid="{00000000-0005-0000-0000-0000F7040000}"/>
    <cellStyle name="SAPBEXheaderText 2" xfId="1262" xr:uid="{00000000-0005-0000-0000-0000F8040000}"/>
    <cellStyle name="SAPBEXheaderText 2 2" xfId="1263" xr:uid="{00000000-0005-0000-0000-0000F9040000}"/>
    <cellStyle name="SAPBEXheaderText 2 2 2" xfId="1264" xr:uid="{00000000-0005-0000-0000-0000FA040000}"/>
    <cellStyle name="SAPBEXheaderText 3" xfId="1265" xr:uid="{00000000-0005-0000-0000-0000FB040000}"/>
    <cellStyle name="SAPBEXheaderText 4" xfId="1266" xr:uid="{00000000-0005-0000-0000-0000FC040000}"/>
    <cellStyle name="SAPBEXheaderText 5" xfId="1267" xr:uid="{00000000-0005-0000-0000-0000FD040000}"/>
    <cellStyle name="SAPBEXheaderText 6" xfId="1268" xr:uid="{00000000-0005-0000-0000-0000FE040000}"/>
    <cellStyle name="SAPBEXheaderText 7" xfId="1269" xr:uid="{00000000-0005-0000-0000-0000FF040000}"/>
    <cellStyle name="SAPBEXheaderText 8" xfId="1270" xr:uid="{00000000-0005-0000-0000-000000050000}"/>
    <cellStyle name="SAPBEXheaderText 9" xfId="1271" xr:uid="{00000000-0005-0000-0000-000001050000}"/>
    <cellStyle name="SAPBEXheaderText_gxaccion, 68" xfId="1272" xr:uid="{00000000-0005-0000-0000-000002050000}"/>
    <cellStyle name="SAPBEXHLevel0" xfId="1273" xr:uid="{00000000-0005-0000-0000-000003050000}"/>
    <cellStyle name="SAPBEXHLevel0 10" xfId="1274" xr:uid="{00000000-0005-0000-0000-000004050000}"/>
    <cellStyle name="SAPBEXHLevel0 11" xfId="1275" xr:uid="{00000000-0005-0000-0000-000005050000}"/>
    <cellStyle name="SAPBEXHLevel0 12" xfId="1789" xr:uid="{FAB466F1-67E6-4BAB-BDF8-3EB34EA1E269}"/>
    <cellStyle name="SAPBEXHLevel0 2" xfId="1276" xr:uid="{00000000-0005-0000-0000-000006050000}"/>
    <cellStyle name="SAPBEXHLevel0 2 2" xfId="1277" xr:uid="{00000000-0005-0000-0000-000007050000}"/>
    <cellStyle name="SAPBEXHLevel0 2 2 2" xfId="1278" xr:uid="{00000000-0005-0000-0000-000008050000}"/>
    <cellStyle name="SAPBEXHLevel0 2 2 3" xfId="1790" xr:uid="{1D58D4BE-835D-4260-ABBB-747C3ADED2E4}"/>
    <cellStyle name="SAPBEXHLevel0 3" xfId="1279" xr:uid="{00000000-0005-0000-0000-000009050000}"/>
    <cellStyle name="SAPBEXHLevel0 4" xfId="1280" xr:uid="{00000000-0005-0000-0000-00000A050000}"/>
    <cellStyle name="SAPBEXHLevel0 5" xfId="1281" xr:uid="{00000000-0005-0000-0000-00000B050000}"/>
    <cellStyle name="SAPBEXHLevel0 6" xfId="1282" xr:uid="{00000000-0005-0000-0000-00000C050000}"/>
    <cellStyle name="SAPBEXHLevel0 7" xfId="1283" xr:uid="{00000000-0005-0000-0000-00000D050000}"/>
    <cellStyle name="SAPBEXHLevel0 8" xfId="1284" xr:uid="{00000000-0005-0000-0000-00000E050000}"/>
    <cellStyle name="SAPBEXHLevel0 9" xfId="1285" xr:uid="{00000000-0005-0000-0000-00000F050000}"/>
    <cellStyle name="SAPBEXHLevel0_gxaccion, 68" xfId="1286" xr:uid="{00000000-0005-0000-0000-000010050000}"/>
    <cellStyle name="SAPBEXHLevel0X" xfId="1287" xr:uid="{00000000-0005-0000-0000-000011050000}"/>
    <cellStyle name="SAPBEXHLevel0X 10" xfId="1288" xr:uid="{00000000-0005-0000-0000-000012050000}"/>
    <cellStyle name="SAPBEXHLevel0X 11" xfId="1289" xr:uid="{00000000-0005-0000-0000-000013050000}"/>
    <cellStyle name="SAPBEXHLevel0X 12" xfId="1791" xr:uid="{811EE673-BBC5-471A-98BB-82EECA50804D}"/>
    <cellStyle name="SAPBEXHLevel0X 2" xfId="1290" xr:uid="{00000000-0005-0000-0000-000014050000}"/>
    <cellStyle name="SAPBEXHLevel0X 2 2" xfId="1291" xr:uid="{00000000-0005-0000-0000-000015050000}"/>
    <cellStyle name="SAPBEXHLevel0X 2 2 2" xfId="1292" xr:uid="{00000000-0005-0000-0000-000016050000}"/>
    <cellStyle name="SAPBEXHLevel0X 2 2 3" xfId="1792" xr:uid="{ACAD8DEC-8FE2-4807-AAFA-03C351967834}"/>
    <cellStyle name="SAPBEXHLevel0X 3" xfId="1293" xr:uid="{00000000-0005-0000-0000-000017050000}"/>
    <cellStyle name="SAPBEXHLevel0X 4" xfId="1294" xr:uid="{00000000-0005-0000-0000-000018050000}"/>
    <cellStyle name="SAPBEXHLevel0X 5" xfId="1295" xr:uid="{00000000-0005-0000-0000-000019050000}"/>
    <cellStyle name="SAPBEXHLevel0X 6" xfId="1296" xr:uid="{00000000-0005-0000-0000-00001A050000}"/>
    <cellStyle name="SAPBEXHLevel0X 7" xfId="1297" xr:uid="{00000000-0005-0000-0000-00001B050000}"/>
    <cellStyle name="SAPBEXHLevel0X 8" xfId="1298" xr:uid="{00000000-0005-0000-0000-00001C050000}"/>
    <cellStyle name="SAPBEXHLevel0X 9" xfId="1299" xr:uid="{00000000-0005-0000-0000-00001D050000}"/>
    <cellStyle name="SAPBEXHLevel0X_gxaccion, 68" xfId="1300" xr:uid="{00000000-0005-0000-0000-00001E050000}"/>
    <cellStyle name="SAPBEXHLevel1" xfId="1301" xr:uid="{00000000-0005-0000-0000-00001F050000}"/>
    <cellStyle name="SAPBEXHLevel1 10" xfId="1302" xr:uid="{00000000-0005-0000-0000-000020050000}"/>
    <cellStyle name="SAPBEXHLevel1 11" xfId="1303" xr:uid="{00000000-0005-0000-0000-000021050000}"/>
    <cellStyle name="SAPBEXHLevel1 12" xfId="1793" xr:uid="{360DB939-A90C-441F-B7F2-2CF4664D8019}"/>
    <cellStyle name="SAPBEXHLevel1 2" xfId="1304" xr:uid="{00000000-0005-0000-0000-000022050000}"/>
    <cellStyle name="SAPBEXHLevel1 2 2" xfId="1305" xr:uid="{00000000-0005-0000-0000-000023050000}"/>
    <cellStyle name="SAPBEXHLevel1 2 2 2" xfId="1306" xr:uid="{00000000-0005-0000-0000-000024050000}"/>
    <cellStyle name="SAPBEXHLevel1 2 2 3" xfId="1794" xr:uid="{86EC2276-91FA-4D74-816B-B45A282CFE20}"/>
    <cellStyle name="SAPBEXHLevel1 3" xfId="1307" xr:uid="{00000000-0005-0000-0000-000025050000}"/>
    <cellStyle name="SAPBEXHLevel1 4" xfId="1308" xr:uid="{00000000-0005-0000-0000-000026050000}"/>
    <cellStyle name="SAPBEXHLevel1 5" xfId="1309" xr:uid="{00000000-0005-0000-0000-000027050000}"/>
    <cellStyle name="SAPBEXHLevel1 6" xfId="1310" xr:uid="{00000000-0005-0000-0000-000028050000}"/>
    <cellStyle name="SAPBEXHLevel1 7" xfId="1311" xr:uid="{00000000-0005-0000-0000-000029050000}"/>
    <cellStyle name="SAPBEXHLevel1 8" xfId="1312" xr:uid="{00000000-0005-0000-0000-00002A050000}"/>
    <cellStyle name="SAPBEXHLevel1 9" xfId="1313" xr:uid="{00000000-0005-0000-0000-00002B050000}"/>
    <cellStyle name="SAPBEXHLevel1_gxaccion, 68" xfId="1314" xr:uid="{00000000-0005-0000-0000-00002C050000}"/>
    <cellStyle name="SAPBEXHLevel1X" xfId="1315" xr:uid="{00000000-0005-0000-0000-00002D050000}"/>
    <cellStyle name="SAPBEXHLevel1X 10" xfId="1316" xr:uid="{00000000-0005-0000-0000-00002E050000}"/>
    <cellStyle name="SAPBEXHLevel1X 11" xfId="1317" xr:uid="{00000000-0005-0000-0000-00002F050000}"/>
    <cellStyle name="SAPBEXHLevel1X 12" xfId="1795" xr:uid="{94F6AAAF-C0DE-4846-92AE-F618508275F1}"/>
    <cellStyle name="SAPBEXHLevel1X 2" xfId="1318" xr:uid="{00000000-0005-0000-0000-000030050000}"/>
    <cellStyle name="SAPBEXHLevel1X 2 2" xfId="1319" xr:uid="{00000000-0005-0000-0000-000031050000}"/>
    <cellStyle name="SAPBEXHLevel1X 2 2 2" xfId="1320" xr:uid="{00000000-0005-0000-0000-000032050000}"/>
    <cellStyle name="SAPBEXHLevel1X 2 2 3" xfId="1796" xr:uid="{299BF87E-6DD7-4A0D-ABC7-70A6FD1086D5}"/>
    <cellStyle name="SAPBEXHLevel1X 3" xfId="1321" xr:uid="{00000000-0005-0000-0000-000033050000}"/>
    <cellStyle name="SAPBEXHLevel1X 4" xfId="1322" xr:uid="{00000000-0005-0000-0000-000034050000}"/>
    <cellStyle name="SAPBEXHLevel1X 5" xfId="1323" xr:uid="{00000000-0005-0000-0000-000035050000}"/>
    <cellStyle name="SAPBEXHLevel1X 6" xfId="1324" xr:uid="{00000000-0005-0000-0000-000036050000}"/>
    <cellStyle name="SAPBEXHLevel1X 7" xfId="1325" xr:uid="{00000000-0005-0000-0000-000037050000}"/>
    <cellStyle name="SAPBEXHLevel1X 8" xfId="1326" xr:uid="{00000000-0005-0000-0000-000038050000}"/>
    <cellStyle name="SAPBEXHLevel1X 9" xfId="1327" xr:uid="{00000000-0005-0000-0000-000039050000}"/>
    <cellStyle name="SAPBEXHLevel1X_gxaccion, 68" xfId="1328" xr:uid="{00000000-0005-0000-0000-00003A050000}"/>
    <cellStyle name="SAPBEXHLevel2" xfId="1329" xr:uid="{00000000-0005-0000-0000-00003B050000}"/>
    <cellStyle name="SAPBEXHLevel2 10" xfId="1330" xr:uid="{00000000-0005-0000-0000-00003C050000}"/>
    <cellStyle name="SAPBEXHLevel2 11" xfId="1331" xr:uid="{00000000-0005-0000-0000-00003D050000}"/>
    <cellStyle name="SAPBEXHLevel2 12" xfId="1797" xr:uid="{DA25E526-5BDC-4ACD-9D12-AE3C79208DD6}"/>
    <cellStyle name="SAPBEXHLevel2 2" xfId="1332" xr:uid="{00000000-0005-0000-0000-00003E050000}"/>
    <cellStyle name="SAPBEXHLevel2 2 2" xfId="1333" xr:uid="{00000000-0005-0000-0000-00003F050000}"/>
    <cellStyle name="SAPBEXHLevel2 2 2 2" xfId="1334" xr:uid="{00000000-0005-0000-0000-000040050000}"/>
    <cellStyle name="SAPBEXHLevel2 2 2 3" xfId="1798" xr:uid="{D1887C82-31C2-4E1E-AED9-A3AF128C0649}"/>
    <cellStyle name="SAPBEXHLevel2 3" xfId="1335" xr:uid="{00000000-0005-0000-0000-000041050000}"/>
    <cellStyle name="SAPBEXHLevel2 4" xfId="1336" xr:uid="{00000000-0005-0000-0000-000042050000}"/>
    <cellStyle name="SAPBEXHLevel2 5" xfId="1337" xr:uid="{00000000-0005-0000-0000-000043050000}"/>
    <cellStyle name="SAPBEXHLevel2 6" xfId="1338" xr:uid="{00000000-0005-0000-0000-000044050000}"/>
    <cellStyle name="SAPBEXHLevel2 7" xfId="1339" xr:uid="{00000000-0005-0000-0000-000045050000}"/>
    <cellStyle name="SAPBEXHLevel2 8" xfId="1340" xr:uid="{00000000-0005-0000-0000-000046050000}"/>
    <cellStyle name="SAPBEXHLevel2 9" xfId="1341" xr:uid="{00000000-0005-0000-0000-000047050000}"/>
    <cellStyle name="SAPBEXHLevel2_gxaccion, 68" xfId="1342" xr:uid="{00000000-0005-0000-0000-000048050000}"/>
    <cellStyle name="SAPBEXHLevel2X" xfId="1343" xr:uid="{00000000-0005-0000-0000-000049050000}"/>
    <cellStyle name="SAPBEXHLevel2X 10" xfId="1344" xr:uid="{00000000-0005-0000-0000-00004A050000}"/>
    <cellStyle name="SAPBEXHLevel2X 11" xfId="1345" xr:uid="{00000000-0005-0000-0000-00004B050000}"/>
    <cellStyle name="SAPBEXHLevel2X 12" xfId="1799" xr:uid="{83ECF2D1-F968-42B0-9564-B858DD95E1F4}"/>
    <cellStyle name="SAPBEXHLevel2X 2" xfId="1346" xr:uid="{00000000-0005-0000-0000-00004C050000}"/>
    <cellStyle name="SAPBEXHLevel2X 2 2" xfId="1347" xr:uid="{00000000-0005-0000-0000-00004D050000}"/>
    <cellStyle name="SAPBEXHLevel2X 2 2 2" xfId="1348" xr:uid="{00000000-0005-0000-0000-00004E050000}"/>
    <cellStyle name="SAPBEXHLevel2X 2 2 3" xfId="1800" xr:uid="{53E11321-4A5C-4A9F-8B8F-935388BF0CA6}"/>
    <cellStyle name="SAPBEXHLevel2X 3" xfId="1349" xr:uid="{00000000-0005-0000-0000-00004F050000}"/>
    <cellStyle name="SAPBEXHLevel2X 4" xfId="1350" xr:uid="{00000000-0005-0000-0000-000050050000}"/>
    <cellStyle name="SAPBEXHLevel2X 5" xfId="1351" xr:uid="{00000000-0005-0000-0000-000051050000}"/>
    <cellStyle name="SAPBEXHLevel2X 6" xfId="1352" xr:uid="{00000000-0005-0000-0000-000052050000}"/>
    <cellStyle name="SAPBEXHLevel2X 7" xfId="1353" xr:uid="{00000000-0005-0000-0000-000053050000}"/>
    <cellStyle name="SAPBEXHLevel2X 8" xfId="1354" xr:uid="{00000000-0005-0000-0000-000054050000}"/>
    <cellStyle name="SAPBEXHLevel2X 9" xfId="1355" xr:uid="{00000000-0005-0000-0000-000055050000}"/>
    <cellStyle name="SAPBEXHLevel2X_gxaccion, 68" xfId="1356" xr:uid="{00000000-0005-0000-0000-000056050000}"/>
    <cellStyle name="SAPBEXHLevel3" xfId="1357" xr:uid="{00000000-0005-0000-0000-000057050000}"/>
    <cellStyle name="SAPBEXHLevel3 10" xfId="1358" xr:uid="{00000000-0005-0000-0000-000058050000}"/>
    <cellStyle name="SAPBEXHLevel3 11" xfId="1359" xr:uid="{00000000-0005-0000-0000-000059050000}"/>
    <cellStyle name="SAPBEXHLevel3 12" xfId="1801" xr:uid="{48B4E8F3-FAE2-499B-8BA4-096360F2DE10}"/>
    <cellStyle name="SAPBEXHLevel3 2" xfId="1360" xr:uid="{00000000-0005-0000-0000-00005A050000}"/>
    <cellStyle name="SAPBEXHLevel3 2 2" xfId="1361" xr:uid="{00000000-0005-0000-0000-00005B050000}"/>
    <cellStyle name="SAPBEXHLevel3 2 2 2" xfId="1362" xr:uid="{00000000-0005-0000-0000-00005C050000}"/>
    <cellStyle name="SAPBEXHLevel3 2 2 3" xfId="1802" xr:uid="{3D8EEFCC-75E6-41D1-8E54-C952E6BCE921}"/>
    <cellStyle name="SAPBEXHLevel3 3" xfId="1363" xr:uid="{00000000-0005-0000-0000-00005D050000}"/>
    <cellStyle name="SAPBEXHLevel3 4" xfId="1364" xr:uid="{00000000-0005-0000-0000-00005E050000}"/>
    <cellStyle name="SAPBEXHLevel3 5" xfId="1365" xr:uid="{00000000-0005-0000-0000-00005F050000}"/>
    <cellStyle name="SAPBEXHLevel3 6" xfId="1366" xr:uid="{00000000-0005-0000-0000-000060050000}"/>
    <cellStyle name="SAPBEXHLevel3 7" xfId="1367" xr:uid="{00000000-0005-0000-0000-000061050000}"/>
    <cellStyle name="SAPBEXHLevel3 8" xfId="1368" xr:uid="{00000000-0005-0000-0000-000062050000}"/>
    <cellStyle name="SAPBEXHLevel3 9" xfId="1369" xr:uid="{00000000-0005-0000-0000-000063050000}"/>
    <cellStyle name="SAPBEXHLevel3_gxaccion, 68" xfId="1370" xr:uid="{00000000-0005-0000-0000-000064050000}"/>
    <cellStyle name="SAPBEXHLevel3X" xfId="1371" xr:uid="{00000000-0005-0000-0000-000065050000}"/>
    <cellStyle name="SAPBEXHLevel3X 10" xfId="1372" xr:uid="{00000000-0005-0000-0000-000066050000}"/>
    <cellStyle name="SAPBEXHLevel3X 11" xfId="1373" xr:uid="{00000000-0005-0000-0000-000067050000}"/>
    <cellStyle name="SAPBEXHLevel3X 12" xfId="1803" xr:uid="{C040E467-424B-47B2-9E18-813B13989EEA}"/>
    <cellStyle name="SAPBEXHLevel3X 2" xfId="1374" xr:uid="{00000000-0005-0000-0000-000068050000}"/>
    <cellStyle name="SAPBEXHLevel3X 2 2" xfId="1375" xr:uid="{00000000-0005-0000-0000-000069050000}"/>
    <cellStyle name="SAPBEXHLevel3X 2 2 2" xfId="1376" xr:uid="{00000000-0005-0000-0000-00006A050000}"/>
    <cellStyle name="SAPBEXHLevel3X 2 2 3" xfId="1804" xr:uid="{80AD0B94-5F3C-44F8-9869-66EB102207E7}"/>
    <cellStyle name="SAPBEXHLevel3X 3" xfId="1377" xr:uid="{00000000-0005-0000-0000-00006B050000}"/>
    <cellStyle name="SAPBEXHLevel3X 4" xfId="1378" xr:uid="{00000000-0005-0000-0000-00006C050000}"/>
    <cellStyle name="SAPBEXHLevel3X 5" xfId="1379" xr:uid="{00000000-0005-0000-0000-00006D050000}"/>
    <cellStyle name="SAPBEXHLevel3X 6" xfId="1380" xr:uid="{00000000-0005-0000-0000-00006E050000}"/>
    <cellStyle name="SAPBEXHLevel3X 7" xfId="1381" xr:uid="{00000000-0005-0000-0000-00006F050000}"/>
    <cellStyle name="SAPBEXHLevel3X 8" xfId="1382" xr:uid="{00000000-0005-0000-0000-000070050000}"/>
    <cellStyle name="SAPBEXHLevel3X 9" xfId="1383" xr:uid="{00000000-0005-0000-0000-000071050000}"/>
    <cellStyle name="SAPBEXHLevel3X_gxaccion, 68" xfId="1384" xr:uid="{00000000-0005-0000-0000-000072050000}"/>
    <cellStyle name="SAPBEXinputData" xfId="1385" xr:uid="{00000000-0005-0000-0000-000073050000}"/>
    <cellStyle name="SAPBEXinputData 10" xfId="1386" xr:uid="{00000000-0005-0000-0000-000074050000}"/>
    <cellStyle name="SAPBEXinputData 11" xfId="1387" xr:uid="{00000000-0005-0000-0000-000075050000}"/>
    <cellStyle name="SAPBEXinputData 12" xfId="1805" xr:uid="{5617C6CD-DA76-4C99-9E03-133F7B3FE64A}"/>
    <cellStyle name="SAPBEXinputData 2" xfId="1388" xr:uid="{00000000-0005-0000-0000-000076050000}"/>
    <cellStyle name="SAPBEXinputData 2 2" xfId="1389" xr:uid="{00000000-0005-0000-0000-000077050000}"/>
    <cellStyle name="SAPBEXinputData 2 2 2" xfId="1390" xr:uid="{00000000-0005-0000-0000-000078050000}"/>
    <cellStyle name="SAPBEXinputData 2 2 3" xfId="1806" xr:uid="{181AF0E2-BC11-4A71-812E-00363FD2283A}"/>
    <cellStyle name="SAPBEXinputData 3" xfId="1391" xr:uid="{00000000-0005-0000-0000-000079050000}"/>
    <cellStyle name="SAPBEXinputData 4" xfId="1392" xr:uid="{00000000-0005-0000-0000-00007A050000}"/>
    <cellStyle name="SAPBEXinputData 5" xfId="1393" xr:uid="{00000000-0005-0000-0000-00007B050000}"/>
    <cellStyle name="SAPBEXinputData 6" xfId="1394" xr:uid="{00000000-0005-0000-0000-00007C050000}"/>
    <cellStyle name="SAPBEXinputData 7" xfId="1395" xr:uid="{00000000-0005-0000-0000-00007D050000}"/>
    <cellStyle name="SAPBEXinputData 8" xfId="1396" xr:uid="{00000000-0005-0000-0000-00007E050000}"/>
    <cellStyle name="SAPBEXinputData 9" xfId="1397" xr:uid="{00000000-0005-0000-0000-00007F050000}"/>
    <cellStyle name="SAPBEXinputData_gxaccion, 68" xfId="1398" xr:uid="{00000000-0005-0000-0000-000080050000}"/>
    <cellStyle name="SAPBEXItemHeader" xfId="1399" xr:uid="{00000000-0005-0000-0000-000081050000}"/>
    <cellStyle name="SAPBEXresData" xfId="1400" xr:uid="{00000000-0005-0000-0000-000082050000}"/>
    <cellStyle name="SAPBEXresData 10" xfId="1401" xr:uid="{00000000-0005-0000-0000-000083050000}"/>
    <cellStyle name="SAPBEXresData 11" xfId="1402" xr:uid="{00000000-0005-0000-0000-000084050000}"/>
    <cellStyle name="SAPBEXresData 2" xfId="1403" xr:uid="{00000000-0005-0000-0000-000085050000}"/>
    <cellStyle name="SAPBEXresData 2 2" xfId="1404" xr:uid="{00000000-0005-0000-0000-000086050000}"/>
    <cellStyle name="SAPBEXresData 2 2 2" xfId="1405" xr:uid="{00000000-0005-0000-0000-000087050000}"/>
    <cellStyle name="SAPBEXresData 3" xfId="1406" xr:uid="{00000000-0005-0000-0000-000088050000}"/>
    <cellStyle name="SAPBEXresData 4" xfId="1407" xr:uid="{00000000-0005-0000-0000-000089050000}"/>
    <cellStyle name="SAPBEXresData 5" xfId="1408" xr:uid="{00000000-0005-0000-0000-00008A050000}"/>
    <cellStyle name="SAPBEXresData 6" xfId="1409" xr:uid="{00000000-0005-0000-0000-00008B050000}"/>
    <cellStyle name="SAPBEXresData 7" xfId="1410" xr:uid="{00000000-0005-0000-0000-00008C050000}"/>
    <cellStyle name="SAPBEXresData 8" xfId="1411" xr:uid="{00000000-0005-0000-0000-00008D050000}"/>
    <cellStyle name="SAPBEXresData 9" xfId="1412" xr:uid="{00000000-0005-0000-0000-00008E050000}"/>
    <cellStyle name="SAPBEXresData_valor justo.junio2010" xfId="1413" xr:uid="{00000000-0005-0000-0000-00008F050000}"/>
    <cellStyle name="SAPBEXresDataEmph" xfId="1414" xr:uid="{00000000-0005-0000-0000-000090050000}"/>
    <cellStyle name="SAPBEXresDataEmph 10" xfId="1415" xr:uid="{00000000-0005-0000-0000-000091050000}"/>
    <cellStyle name="SAPBEXresDataEmph 11" xfId="1416" xr:uid="{00000000-0005-0000-0000-000092050000}"/>
    <cellStyle name="SAPBEXresDataEmph 2" xfId="1417" xr:uid="{00000000-0005-0000-0000-000093050000}"/>
    <cellStyle name="SAPBEXresDataEmph 2 2" xfId="1418" xr:uid="{00000000-0005-0000-0000-000094050000}"/>
    <cellStyle name="SAPBEXresDataEmph 2 2 2" xfId="1419" xr:uid="{00000000-0005-0000-0000-000095050000}"/>
    <cellStyle name="SAPBEXresDataEmph 3" xfId="1420" xr:uid="{00000000-0005-0000-0000-000096050000}"/>
    <cellStyle name="SAPBEXresDataEmph 4" xfId="1421" xr:uid="{00000000-0005-0000-0000-000097050000}"/>
    <cellStyle name="SAPBEXresDataEmph 5" xfId="1422" xr:uid="{00000000-0005-0000-0000-000098050000}"/>
    <cellStyle name="SAPBEXresDataEmph 6" xfId="1423" xr:uid="{00000000-0005-0000-0000-000099050000}"/>
    <cellStyle name="SAPBEXresDataEmph 7" xfId="1424" xr:uid="{00000000-0005-0000-0000-00009A050000}"/>
    <cellStyle name="SAPBEXresDataEmph 8" xfId="1425" xr:uid="{00000000-0005-0000-0000-00009B050000}"/>
    <cellStyle name="SAPBEXresDataEmph 9" xfId="1426" xr:uid="{00000000-0005-0000-0000-00009C050000}"/>
    <cellStyle name="SAPBEXresDataEmph_valor justo.junio2010" xfId="1427" xr:uid="{00000000-0005-0000-0000-00009D050000}"/>
    <cellStyle name="SAPBEXresItem" xfId="1428" xr:uid="{00000000-0005-0000-0000-00009E050000}"/>
    <cellStyle name="SAPBEXresItem 10" xfId="1429" xr:uid="{00000000-0005-0000-0000-00009F050000}"/>
    <cellStyle name="SAPBEXresItem 11" xfId="1430" xr:uid="{00000000-0005-0000-0000-0000A0050000}"/>
    <cellStyle name="SAPBEXresItem 2" xfId="1431" xr:uid="{00000000-0005-0000-0000-0000A1050000}"/>
    <cellStyle name="SAPBEXresItem 2 2" xfId="1432" xr:uid="{00000000-0005-0000-0000-0000A2050000}"/>
    <cellStyle name="SAPBEXresItem 2 2 2" xfId="1433" xr:uid="{00000000-0005-0000-0000-0000A3050000}"/>
    <cellStyle name="SAPBEXresItem 3" xfId="1434" xr:uid="{00000000-0005-0000-0000-0000A4050000}"/>
    <cellStyle name="SAPBEXresItem 4" xfId="1435" xr:uid="{00000000-0005-0000-0000-0000A5050000}"/>
    <cellStyle name="SAPBEXresItem 5" xfId="1436" xr:uid="{00000000-0005-0000-0000-0000A6050000}"/>
    <cellStyle name="SAPBEXresItem 6" xfId="1437" xr:uid="{00000000-0005-0000-0000-0000A7050000}"/>
    <cellStyle name="SAPBEXresItem 7" xfId="1438" xr:uid="{00000000-0005-0000-0000-0000A8050000}"/>
    <cellStyle name="SAPBEXresItem 8" xfId="1439" xr:uid="{00000000-0005-0000-0000-0000A9050000}"/>
    <cellStyle name="SAPBEXresItem 9" xfId="1440" xr:uid="{00000000-0005-0000-0000-0000AA050000}"/>
    <cellStyle name="SAPBEXresItem_valor justo.junio2010" xfId="1441" xr:uid="{00000000-0005-0000-0000-0000AB050000}"/>
    <cellStyle name="SAPBEXresItemX" xfId="1442" xr:uid="{00000000-0005-0000-0000-0000AC050000}"/>
    <cellStyle name="SAPBEXresItemX 10" xfId="1443" xr:uid="{00000000-0005-0000-0000-0000AD050000}"/>
    <cellStyle name="SAPBEXresItemX 11" xfId="1444" xr:uid="{00000000-0005-0000-0000-0000AE050000}"/>
    <cellStyle name="SAPBEXresItemX 2" xfId="1445" xr:uid="{00000000-0005-0000-0000-0000AF050000}"/>
    <cellStyle name="SAPBEXresItemX 2 2" xfId="1446" xr:uid="{00000000-0005-0000-0000-0000B0050000}"/>
    <cellStyle name="SAPBEXresItemX 2 2 2" xfId="1447" xr:uid="{00000000-0005-0000-0000-0000B1050000}"/>
    <cellStyle name="SAPBEXresItemX 3" xfId="1448" xr:uid="{00000000-0005-0000-0000-0000B2050000}"/>
    <cellStyle name="SAPBEXresItemX 4" xfId="1449" xr:uid="{00000000-0005-0000-0000-0000B3050000}"/>
    <cellStyle name="SAPBEXresItemX 5" xfId="1450" xr:uid="{00000000-0005-0000-0000-0000B4050000}"/>
    <cellStyle name="SAPBEXresItemX 6" xfId="1451" xr:uid="{00000000-0005-0000-0000-0000B5050000}"/>
    <cellStyle name="SAPBEXresItemX 7" xfId="1452" xr:uid="{00000000-0005-0000-0000-0000B6050000}"/>
    <cellStyle name="SAPBEXresItemX 8" xfId="1453" xr:uid="{00000000-0005-0000-0000-0000B7050000}"/>
    <cellStyle name="SAPBEXresItemX 9" xfId="1454" xr:uid="{00000000-0005-0000-0000-0000B8050000}"/>
    <cellStyle name="SAPBEXresItemX_valor justo.junio2010" xfId="1455" xr:uid="{00000000-0005-0000-0000-0000B9050000}"/>
    <cellStyle name="SAPBEXstdData" xfId="1456" xr:uid="{00000000-0005-0000-0000-0000BA050000}"/>
    <cellStyle name="SAPBEXstdData 10" xfId="1457" xr:uid="{00000000-0005-0000-0000-0000BB050000}"/>
    <cellStyle name="SAPBEXstdData 11" xfId="1458" xr:uid="{00000000-0005-0000-0000-0000BC050000}"/>
    <cellStyle name="SAPBEXstdData 2" xfId="1459" xr:uid="{00000000-0005-0000-0000-0000BD050000}"/>
    <cellStyle name="SAPBEXstdData 2 2" xfId="1460" xr:uid="{00000000-0005-0000-0000-0000BE050000}"/>
    <cellStyle name="SAPBEXstdData 2 2 2" xfId="1461" xr:uid="{00000000-0005-0000-0000-0000BF050000}"/>
    <cellStyle name="SAPBEXstdData 3" xfId="1462" xr:uid="{00000000-0005-0000-0000-0000C0050000}"/>
    <cellStyle name="SAPBEXstdData 4" xfId="1463" xr:uid="{00000000-0005-0000-0000-0000C1050000}"/>
    <cellStyle name="SAPBEXstdData 5" xfId="1464" xr:uid="{00000000-0005-0000-0000-0000C2050000}"/>
    <cellStyle name="SAPBEXstdData 6" xfId="1465" xr:uid="{00000000-0005-0000-0000-0000C3050000}"/>
    <cellStyle name="SAPBEXstdData 7" xfId="1466" xr:uid="{00000000-0005-0000-0000-0000C4050000}"/>
    <cellStyle name="SAPBEXstdData 8" xfId="1467" xr:uid="{00000000-0005-0000-0000-0000C5050000}"/>
    <cellStyle name="SAPBEXstdData 9" xfId="1468" xr:uid="{00000000-0005-0000-0000-0000C6050000}"/>
    <cellStyle name="SAPBEXstdData_gxaccion, 68" xfId="1469" xr:uid="{00000000-0005-0000-0000-0000C7050000}"/>
    <cellStyle name="SAPBEXstdDataEmph" xfId="1470" xr:uid="{00000000-0005-0000-0000-0000C8050000}"/>
    <cellStyle name="SAPBEXstdDataEmph 10" xfId="1471" xr:uid="{00000000-0005-0000-0000-0000C9050000}"/>
    <cellStyle name="SAPBEXstdDataEmph 11" xfId="1472" xr:uid="{00000000-0005-0000-0000-0000CA050000}"/>
    <cellStyle name="SAPBEXstdDataEmph 2" xfId="1473" xr:uid="{00000000-0005-0000-0000-0000CB050000}"/>
    <cellStyle name="SAPBEXstdDataEmph 2 2" xfId="1474" xr:uid="{00000000-0005-0000-0000-0000CC050000}"/>
    <cellStyle name="SAPBEXstdDataEmph 2 2 2" xfId="1475" xr:uid="{00000000-0005-0000-0000-0000CD050000}"/>
    <cellStyle name="SAPBEXstdDataEmph 3" xfId="1476" xr:uid="{00000000-0005-0000-0000-0000CE050000}"/>
    <cellStyle name="SAPBEXstdDataEmph 4" xfId="1477" xr:uid="{00000000-0005-0000-0000-0000CF050000}"/>
    <cellStyle name="SAPBEXstdDataEmph 5" xfId="1478" xr:uid="{00000000-0005-0000-0000-0000D0050000}"/>
    <cellStyle name="SAPBEXstdDataEmph 6" xfId="1479" xr:uid="{00000000-0005-0000-0000-0000D1050000}"/>
    <cellStyle name="SAPBEXstdDataEmph 7" xfId="1480" xr:uid="{00000000-0005-0000-0000-0000D2050000}"/>
    <cellStyle name="SAPBEXstdDataEmph 8" xfId="1481" xr:uid="{00000000-0005-0000-0000-0000D3050000}"/>
    <cellStyle name="SAPBEXstdDataEmph 9" xfId="1482" xr:uid="{00000000-0005-0000-0000-0000D4050000}"/>
    <cellStyle name="SAPBEXstdDataEmph_valor justo.junio2010" xfId="1483" xr:uid="{00000000-0005-0000-0000-0000D5050000}"/>
    <cellStyle name="SAPBEXstdItem" xfId="1484" xr:uid="{00000000-0005-0000-0000-0000D6050000}"/>
    <cellStyle name="SAPBEXstdItem 10" xfId="1485" xr:uid="{00000000-0005-0000-0000-0000D7050000}"/>
    <cellStyle name="SAPBEXstdItem 10 2" xfId="1807" xr:uid="{F7CD49AB-80AE-41D2-8410-54E938BD9E60}"/>
    <cellStyle name="SAPBEXstdItem 11" xfId="1486" xr:uid="{00000000-0005-0000-0000-0000D8050000}"/>
    <cellStyle name="SAPBEXstdItem 11 2" xfId="1808" xr:uid="{FEF817F3-C84A-47B1-AB38-241B2C65CB24}"/>
    <cellStyle name="SAPBEXstdItem 2" xfId="1487" xr:uid="{00000000-0005-0000-0000-0000D9050000}"/>
    <cellStyle name="SAPBEXstdItem 2 2" xfId="1488" xr:uid="{00000000-0005-0000-0000-0000DA050000}"/>
    <cellStyle name="SAPBEXstdItem 2 2 2" xfId="1489" xr:uid="{00000000-0005-0000-0000-0000DB050000}"/>
    <cellStyle name="SAPBEXstdItem 3" xfId="1490" xr:uid="{00000000-0005-0000-0000-0000DC050000}"/>
    <cellStyle name="SAPBEXstdItem 4" xfId="1491" xr:uid="{00000000-0005-0000-0000-0000DD050000}"/>
    <cellStyle name="SAPBEXstdItem 5" xfId="1492" xr:uid="{00000000-0005-0000-0000-0000DE050000}"/>
    <cellStyle name="SAPBEXstdItem 6" xfId="1493" xr:uid="{00000000-0005-0000-0000-0000DF050000}"/>
    <cellStyle name="SAPBEXstdItem 7" xfId="1494" xr:uid="{00000000-0005-0000-0000-0000E0050000}"/>
    <cellStyle name="SAPBEXstdItem 7 2" xfId="1809" xr:uid="{BEFFAAA2-08C8-47EA-9548-379627DB19CA}"/>
    <cellStyle name="SAPBEXstdItem 8" xfId="1495" xr:uid="{00000000-0005-0000-0000-0000E1050000}"/>
    <cellStyle name="SAPBEXstdItem 8 2" xfId="1810" xr:uid="{1ADD5A51-1A8C-4174-B65F-AD0F99707E68}"/>
    <cellStyle name="SAPBEXstdItem 9" xfId="1496" xr:uid="{00000000-0005-0000-0000-0000E2050000}"/>
    <cellStyle name="SAPBEXstdItem 9 2" xfId="1811" xr:uid="{86D1235C-BE1A-4CF3-8089-AA71C4E9CB2F}"/>
    <cellStyle name="SAPBEXstdItem_gxaccion, 68" xfId="1497" xr:uid="{00000000-0005-0000-0000-0000E3050000}"/>
    <cellStyle name="SAPBEXstdItemX" xfId="1498" xr:uid="{00000000-0005-0000-0000-0000E4050000}"/>
    <cellStyle name="SAPBEXstdItemX 10" xfId="1499" xr:uid="{00000000-0005-0000-0000-0000E5050000}"/>
    <cellStyle name="SAPBEXstdItemX 11" xfId="1500" xr:uid="{00000000-0005-0000-0000-0000E6050000}"/>
    <cellStyle name="SAPBEXstdItemX 2" xfId="1501" xr:uid="{00000000-0005-0000-0000-0000E7050000}"/>
    <cellStyle name="SAPBEXstdItemX 2 2" xfId="1502" xr:uid="{00000000-0005-0000-0000-0000E8050000}"/>
    <cellStyle name="SAPBEXstdItemX 2 2 2" xfId="1503" xr:uid="{00000000-0005-0000-0000-0000E9050000}"/>
    <cellStyle name="SAPBEXstdItemX 3" xfId="1504" xr:uid="{00000000-0005-0000-0000-0000EA050000}"/>
    <cellStyle name="SAPBEXstdItemX 4" xfId="1505" xr:uid="{00000000-0005-0000-0000-0000EB050000}"/>
    <cellStyle name="SAPBEXstdItemX 5" xfId="1506" xr:uid="{00000000-0005-0000-0000-0000EC050000}"/>
    <cellStyle name="SAPBEXstdItemX 6" xfId="1507" xr:uid="{00000000-0005-0000-0000-0000ED050000}"/>
    <cellStyle name="SAPBEXstdItemX 7" xfId="1508" xr:uid="{00000000-0005-0000-0000-0000EE050000}"/>
    <cellStyle name="SAPBEXstdItemX 8" xfId="1509" xr:uid="{00000000-0005-0000-0000-0000EF050000}"/>
    <cellStyle name="SAPBEXstdItemX 9" xfId="1510" xr:uid="{00000000-0005-0000-0000-0000F0050000}"/>
    <cellStyle name="SAPBEXstdItemX_valor justo.junio2010" xfId="1511" xr:uid="{00000000-0005-0000-0000-0000F1050000}"/>
    <cellStyle name="SAPBEXtitle" xfId="1512" xr:uid="{00000000-0005-0000-0000-0000F2050000}"/>
    <cellStyle name="SAPBEXtitle 10" xfId="1513" xr:uid="{00000000-0005-0000-0000-0000F3050000}"/>
    <cellStyle name="SAPBEXtitle 11" xfId="1514" xr:uid="{00000000-0005-0000-0000-0000F4050000}"/>
    <cellStyle name="SAPBEXtitle 2" xfId="1515" xr:uid="{00000000-0005-0000-0000-0000F5050000}"/>
    <cellStyle name="SAPBEXtitle 2 2" xfId="1516" xr:uid="{00000000-0005-0000-0000-0000F6050000}"/>
    <cellStyle name="SAPBEXtitle 2 2 2" xfId="1517" xr:uid="{00000000-0005-0000-0000-0000F7050000}"/>
    <cellStyle name="SAPBEXtitle 3" xfId="1518" xr:uid="{00000000-0005-0000-0000-0000F8050000}"/>
    <cellStyle name="SAPBEXtitle 4" xfId="1519" xr:uid="{00000000-0005-0000-0000-0000F9050000}"/>
    <cellStyle name="SAPBEXtitle 5" xfId="1520" xr:uid="{00000000-0005-0000-0000-0000FA050000}"/>
    <cellStyle name="SAPBEXtitle 6" xfId="1521" xr:uid="{00000000-0005-0000-0000-0000FB050000}"/>
    <cellStyle name="SAPBEXtitle 7" xfId="1522" xr:uid="{00000000-0005-0000-0000-0000FC050000}"/>
    <cellStyle name="SAPBEXtitle 8" xfId="1523" xr:uid="{00000000-0005-0000-0000-0000FD050000}"/>
    <cellStyle name="SAPBEXtitle 9" xfId="1524" xr:uid="{00000000-0005-0000-0000-0000FE050000}"/>
    <cellStyle name="SAPBEXunassignedItem" xfId="1525" xr:uid="{00000000-0005-0000-0000-0000FF050000}"/>
    <cellStyle name="SAPBEXunassignedItem 2" xfId="1526" xr:uid="{00000000-0005-0000-0000-000000060000}"/>
    <cellStyle name="SAPBEXunassignedItem 3" xfId="1527" xr:uid="{00000000-0005-0000-0000-000001060000}"/>
    <cellStyle name="SAPBEXunassignedItem 4" xfId="1528" xr:uid="{00000000-0005-0000-0000-000002060000}"/>
    <cellStyle name="SAPBEXunassignedItem 5" xfId="1529" xr:uid="{00000000-0005-0000-0000-000003060000}"/>
    <cellStyle name="SAPBEXundefined" xfId="1530" xr:uid="{00000000-0005-0000-0000-000004060000}"/>
    <cellStyle name="SAPBEXundefined 10" xfId="1531" xr:uid="{00000000-0005-0000-0000-000005060000}"/>
    <cellStyle name="SAPBEXundefined 11" xfId="1532" xr:uid="{00000000-0005-0000-0000-000006060000}"/>
    <cellStyle name="SAPBEXundefined 2" xfId="1533" xr:uid="{00000000-0005-0000-0000-000007060000}"/>
    <cellStyle name="SAPBEXundefined 2 2" xfId="1534" xr:uid="{00000000-0005-0000-0000-000008060000}"/>
    <cellStyle name="SAPBEXundefined 2 2 2" xfId="1535" xr:uid="{00000000-0005-0000-0000-000009060000}"/>
    <cellStyle name="SAPBEXundefined 3" xfId="1536" xr:uid="{00000000-0005-0000-0000-00000A060000}"/>
    <cellStyle name="SAPBEXundefined 4" xfId="1537" xr:uid="{00000000-0005-0000-0000-00000B060000}"/>
    <cellStyle name="SAPBEXundefined 5" xfId="1538" xr:uid="{00000000-0005-0000-0000-00000C060000}"/>
    <cellStyle name="SAPBEXundefined 6" xfId="1539" xr:uid="{00000000-0005-0000-0000-00000D060000}"/>
    <cellStyle name="SAPBEXundefined 7" xfId="1540" xr:uid="{00000000-0005-0000-0000-00000E060000}"/>
    <cellStyle name="SAPBEXundefined 8" xfId="1541" xr:uid="{00000000-0005-0000-0000-00000F060000}"/>
    <cellStyle name="SAPBEXundefined 9" xfId="1542" xr:uid="{00000000-0005-0000-0000-000010060000}"/>
    <cellStyle name="SAPBEXundefined_valor justo.junio2010" xfId="1543" xr:uid="{00000000-0005-0000-0000-000011060000}"/>
    <cellStyle name="Sheet Title" xfId="1544" xr:uid="{00000000-0005-0000-0000-000012060000}"/>
    <cellStyle name="Suma" xfId="1545" xr:uid="{00000000-0005-0000-0000-000013060000}"/>
    <cellStyle name="Tekst obja?nienia" xfId="1546" xr:uid="{00000000-0005-0000-0000-000014060000}"/>
    <cellStyle name="Tekst objaśnienia" xfId="1547" xr:uid="{00000000-0005-0000-0000-000015060000}"/>
    <cellStyle name="Tekst ostrze?enia" xfId="1548" xr:uid="{00000000-0005-0000-0000-000016060000}"/>
    <cellStyle name="Tekst ostrzeżenia" xfId="1549" xr:uid="{00000000-0005-0000-0000-000017060000}"/>
    <cellStyle name="Texto de advertencia" xfId="1550" builtinId="11" customBuiltin="1"/>
    <cellStyle name="Texto de advertencia 2" xfId="1551" xr:uid="{00000000-0005-0000-0000-000019060000}"/>
    <cellStyle name="Texto de advertencia 2 2" xfId="1552" xr:uid="{00000000-0005-0000-0000-00001A060000}"/>
    <cellStyle name="Texto de advertencia 2 3" xfId="1553" xr:uid="{00000000-0005-0000-0000-00001B060000}"/>
    <cellStyle name="Texto de advertencia 2 4" xfId="1554" xr:uid="{00000000-0005-0000-0000-00001C060000}"/>
    <cellStyle name="Texto de advertencia 2 5" xfId="1555" xr:uid="{00000000-0005-0000-0000-00001D060000}"/>
    <cellStyle name="Texto de advertencia 2 6" xfId="1556" xr:uid="{00000000-0005-0000-0000-00001E060000}"/>
    <cellStyle name="Texto de advertencia 3" xfId="1557" xr:uid="{00000000-0005-0000-0000-00001F060000}"/>
    <cellStyle name="Texto de advertencia 3 2" xfId="1558" xr:uid="{00000000-0005-0000-0000-000020060000}"/>
    <cellStyle name="Texto de advertencia 3 3" xfId="1559" xr:uid="{00000000-0005-0000-0000-000021060000}"/>
    <cellStyle name="Texto de advertencia 3 4" xfId="1560" xr:uid="{00000000-0005-0000-0000-000022060000}"/>
    <cellStyle name="Texto de advertencia 3 5" xfId="1561" xr:uid="{00000000-0005-0000-0000-000023060000}"/>
    <cellStyle name="Texto de advertencia 4" xfId="1562" xr:uid="{00000000-0005-0000-0000-000024060000}"/>
    <cellStyle name="Texto de advertencia 4 2" xfId="1563" xr:uid="{00000000-0005-0000-0000-000025060000}"/>
    <cellStyle name="Texto de advertencia 4 3" xfId="1564" xr:uid="{00000000-0005-0000-0000-000026060000}"/>
    <cellStyle name="Texto de advertencia 4 4" xfId="1565" xr:uid="{00000000-0005-0000-0000-000027060000}"/>
    <cellStyle name="Texto de advertencia 4 5" xfId="1566" xr:uid="{00000000-0005-0000-0000-000028060000}"/>
    <cellStyle name="Texto de advertencia 5" xfId="1567" xr:uid="{00000000-0005-0000-0000-000029060000}"/>
    <cellStyle name="Texto de advertencia 5 2" xfId="1568" xr:uid="{00000000-0005-0000-0000-00002A060000}"/>
    <cellStyle name="Texto de advertencia 5 3" xfId="1569" xr:uid="{00000000-0005-0000-0000-00002B060000}"/>
    <cellStyle name="Texto de advertencia 5 4" xfId="1570" xr:uid="{00000000-0005-0000-0000-00002C060000}"/>
    <cellStyle name="Texto de advertencia 5 5" xfId="1571" xr:uid="{00000000-0005-0000-0000-00002D060000}"/>
    <cellStyle name="Texto de advertencia 6" xfId="1572" xr:uid="{00000000-0005-0000-0000-00002E060000}"/>
    <cellStyle name="Texto de advertencia 6 2" xfId="1573" xr:uid="{00000000-0005-0000-0000-00002F060000}"/>
    <cellStyle name="Texto de advertencia 7" xfId="1574" xr:uid="{00000000-0005-0000-0000-000030060000}"/>
    <cellStyle name="Texto de advertencia 8" xfId="1575" xr:uid="{00000000-0005-0000-0000-000031060000}"/>
    <cellStyle name="Texto de advertencia 9" xfId="1576" xr:uid="{00000000-0005-0000-0000-000032060000}"/>
    <cellStyle name="Texto explicativo" xfId="1577" builtinId="53" customBuiltin="1"/>
    <cellStyle name="Texto explicativo 2 2" xfId="1578" xr:uid="{00000000-0005-0000-0000-000034060000}"/>
    <cellStyle name="Title" xfId="1579" xr:uid="{00000000-0005-0000-0000-000035060000}"/>
    <cellStyle name="Título" xfId="1580" builtinId="15" customBuiltin="1"/>
    <cellStyle name="Título 1 2" xfId="1582" xr:uid="{00000000-0005-0000-0000-000037060000}"/>
    <cellStyle name="Título 1 2 2" xfId="1583" xr:uid="{00000000-0005-0000-0000-000038060000}"/>
    <cellStyle name="Título 1 2 3" xfId="1584" xr:uid="{00000000-0005-0000-0000-000039060000}"/>
    <cellStyle name="Título 1 2 4" xfId="1585" xr:uid="{00000000-0005-0000-0000-00003A060000}"/>
    <cellStyle name="Título 1 2 5" xfId="1586" xr:uid="{00000000-0005-0000-0000-00003B060000}"/>
    <cellStyle name="Título 1 2 6" xfId="1587" xr:uid="{00000000-0005-0000-0000-00003C060000}"/>
    <cellStyle name="Título 1 3" xfId="1588" xr:uid="{00000000-0005-0000-0000-00003D060000}"/>
    <cellStyle name="Título 1 3 2" xfId="1589" xr:uid="{00000000-0005-0000-0000-00003E060000}"/>
    <cellStyle name="Título 1 3 3" xfId="1590" xr:uid="{00000000-0005-0000-0000-00003F060000}"/>
    <cellStyle name="Título 1 3 4" xfId="1591" xr:uid="{00000000-0005-0000-0000-000040060000}"/>
    <cellStyle name="Título 1 3 5" xfId="1592" xr:uid="{00000000-0005-0000-0000-000041060000}"/>
    <cellStyle name="Título 1 4" xfId="1593" xr:uid="{00000000-0005-0000-0000-000042060000}"/>
    <cellStyle name="Título 1 4 2" xfId="1594" xr:uid="{00000000-0005-0000-0000-000043060000}"/>
    <cellStyle name="Título 1 4 3" xfId="1595" xr:uid="{00000000-0005-0000-0000-000044060000}"/>
    <cellStyle name="Título 1 4 4" xfId="1596" xr:uid="{00000000-0005-0000-0000-000045060000}"/>
    <cellStyle name="Título 1 4 5" xfId="1597" xr:uid="{00000000-0005-0000-0000-000046060000}"/>
    <cellStyle name="Título 1 5" xfId="1598" xr:uid="{00000000-0005-0000-0000-000047060000}"/>
    <cellStyle name="Título 1 5 2" xfId="1599" xr:uid="{00000000-0005-0000-0000-000048060000}"/>
    <cellStyle name="Título 1 5 3" xfId="1600" xr:uid="{00000000-0005-0000-0000-000049060000}"/>
    <cellStyle name="Título 1 5 4" xfId="1601" xr:uid="{00000000-0005-0000-0000-00004A060000}"/>
    <cellStyle name="Título 1 5 5" xfId="1602" xr:uid="{00000000-0005-0000-0000-00004B060000}"/>
    <cellStyle name="Título 1 6" xfId="1603" xr:uid="{00000000-0005-0000-0000-00004C060000}"/>
    <cellStyle name="Título 1 7" xfId="1604" xr:uid="{00000000-0005-0000-0000-00004D060000}"/>
    <cellStyle name="Título 1 8" xfId="1605" xr:uid="{00000000-0005-0000-0000-00004E060000}"/>
    <cellStyle name="Título 1 9" xfId="1606" xr:uid="{00000000-0005-0000-0000-00004F060000}"/>
    <cellStyle name="Título 2" xfId="1607" builtinId="17" customBuiltin="1"/>
    <cellStyle name="Título 2 2" xfId="1608" xr:uid="{00000000-0005-0000-0000-000051060000}"/>
    <cellStyle name="Título 2 2 2" xfId="1609" xr:uid="{00000000-0005-0000-0000-000052060000}"/>
    <cellStyle name="Título 2 2 3" xfId="1610" xr:uid="{00000000-0005-0000-0000-000053060000}"/>
    <cellStyle name="Título 2 2 4" xfId="1611" xr:uid="{00000000-0005-0000-0000-000054060000}"/>
    <cellStyle name="Título 2 2 5" xfId="1612" xr:uid="{00000000-0005-0000-0000-000055060000}"/>
    <cellStyle name="Título 2 2 6" xfId="1613" xr:uid="{00000000-0005-0000-0000-000056060000}"/>
    <cellStyle name="Título 2 3" xfId="1614" xr:uid="{00000000-0005-0000-0000-000057060000}"/>
    <cellStyle name="Título 2 3 2" xfId="1615" xr:uid="{00000000-0005-0000-0000-000058060000}"/>
    <cellStyle name="Título 2 3 3" xfId="1616" xr:uid="{00000000-0005-0000-0000-000059060000}"/>
    <cellStyle name="Título 2 3 4" xfId="1617" xr:uid="{00000000-0005-0000-0000-00005A060000}"/>
    <cellStyle name="Título 2 3 5" xfId="1618" xr:uid="{00000000-0005-0000-0000-00005B060000}"/>
    <cellStyle name="Título 2 4" xfId="1619" xr:uid="{00000000-0005-0000-0000-00005C060000}"/>
    <cellStyle name="Título 2 4 2" xfId="1620" xr:uid="{00000000-0005-0000-0000-00005D060000}"/>
    <cellStyle name="Título 2 4 3" xfId="1621" xr:uid="{00000000-0005-0000-0000-00005E060000}"/>
    <cellStyle name="Título 2 4 4" xfId="1622" xr:uid="{00000000-0005-0000-0000-00005F060000}"/>
    <cellStyle name="Título 2 4 5" xfId="1623" xr:uid="{00000000-0005-0000-0000-000060060000}"/>
    <cellStyle name="Título 2 5" xfId="1624" xr:uid="{00000000-0005-0000-0000-000061060000}"/>
    <cellStyle name="Título 2 5 2" xfId="1625" xr:uid="{00000000-0005-0000-0000-000062060000}"/>
    <cellStyle name="Título 2 5 3" xfId="1626" xr:uid="{00000000-0005-0000-0000-000063060000}"/>
    <cellStyle name="Título 2 5 4" xfId="1627" xr:uid="{00000000-0005-0000-0000-000064060000}"/>
    <cellStyle name="Título 2 5 5" xfId="1628" xr:uid="{00000000-0005-0000-0000-000065060000}"/>
    <cellStyle name="Título 2 6" xfId="1629" xr:uid="{00000000-0005-0000-0000-000066060000}"/>
    <cellStyle name="Título 2 6 2" xfId="1630" xr:uid="{00000000-0005-0000-0000-000067060000}"/>
    <cellStyle name="Título 2 7" xfId="1631" xr:uid="{00000000-0005-0000-0000-000068060000}"/>
    <cellStyle name="Título 2 8" xfId="1632" xr:uid="{00000000-0005-0000-0000-000069060000}"/>
    <cellStyle name="Título 2 9" xfId="1633" xr:uid="{00000000-0005-0000-0000-00006A060000}"/>
    <cellStyle name="Título 3" xfId="1634" builtinId="18" customBuiltin="1"/>
    <cellStyle name="Título 3 2" xfId="1635" xr:uid="{00000000-0005-0000-0000-00006C060000}"/>
    <cellStyle name="Título 3 2 2" xfId="1636" xr:uid="{00000000-0005-0000-0000-00006D060000}"/>
    <cellStyle name="Título 3 2 3" xfId="1637" xr:uid="{00000000-0005-0000-0000-00006E060000}"/>
    <cellStyle name="Título 3 2 4" xfId="1638" xr:uid="{00000000-0005-0000-0000-00006F060000}"/>
    <cellStyle name="Título 3 2 5" xfId="1639" xr:uid="{00000000-0005-0000-0000-000070060000}"/>
    <cellStyle name="Título 3 2 6" xfId="1640" xr:uid="{00000000-0005-0000-0000-000071060000}"/>
    <cellStyle name="Título 3 3" xfId="1641" xr:uid="{00000000-0005-0000-0000-000072060000}"/>
    <cellStyle name="Título 3 3 2" xfId="1642" xr:uid="{00000000-0005-0000-0000-000073060000}"/>
    <cellStyle name="Título 3 3 3" xfId="1643" xr:uid="{00000000-0005-0000-0000-000074060000}"/>
    <cellStyle name="Título 3 3 4" xfId="1644" xr:uid="{00000000-0005-0000-0000-000075060000}"/>
    <cellStyle name="Título 3 3 5" xfId="1645" xr:uid="{00000000-0005-0000-0000-000076060000}"/>
    <cellStyle name="Título 3 4" xfId="1646" xr:uid="{00000000-0005-0000-0000-000077060000}"/>
    <cellStyle name="Título 3 4 2" xfId="1647" xr:uid="{00000000-0005-0000-0000-000078060000}"/>
    <cellStyle name="Título 3 4 3" xfId="1648" xr:uid="{00000000-0005-0000-0000-000079060000}"/>
    <cellStyle name="Título 3 4 4" xfId="1649" xr:uid="{00000000-0005-0000-0000-00007A060000}"/>
    <cellStyle name="Título 3 4 5" xfId="1650" xr:uid="{00000000-0005-0000-0000-00007B060000}"/>
    <cellStyle name="Título 3 5" xfId="1651" xr:uid="{00000000-0005-0000-0000-00007C060000}"/>
    <cellStyle name="Título 3 5 2" xfId="1652" xr:uid="{00000000-0005-0000-0000-00007D060000}"/>
    <cellStyle name="Título 3 5 3" xfId="1653" xr:uid="{00000000-0005-0000-0000-00007E060000}"/>
    <cellStyle name="Título 3 5 4" xfId="1654" xr:uid="{00000000-0005-0000-0000-00007F060000}"/>
    <cellStyle name="Título 3 5 5" xfId="1655" xr:uid="{00000000-0005-0000-0000-000080060000}"/>
    <cellStyle name="Título 3 6" xfId="1656" xr:uid="{00000000-0005-0000-0000-000081060000}"/>
    <cellStyle name="Título 3 6 2" xfId="1657" xr:uid="{00000000-0005-0000-0000-000082060000}"/>
    <cellStyle name="Título 3 7" xfId="1658" xr:uid="{00000000-0005-0000-0000-000083060000}"/>
    <cellStyle name="Título 3 8" xfId="1659" xr:uid="{00000000-0005-0000-0000-000084060000}"/>
    <cellStyle name="Título 3 9" xfId="1660" xr:uid="{00000000-0005-0000-0000-000085060000}"/>
    <cellStyle name="Total" xfId="1661" builtinId="25" customBuiltin="1"/>
    <cellStyle name="Total 2" xfId="1662" xr:uid="{00000000-0005-0000-0000-000087060000}"/>
    <cellStyle name="Total 2 2" xfId="1663" xr:uid="{00000000-0005-0000-0000-000088060000}"/>
    <cellStyle name="Total 2 3" xfId="1664" xr:uid="{00000000-0005-0000-0000-000089060000}"/>
    <cellStyle name="Total 2 4" xfId="1665" xr:uid="{00000000-0005-0000-0000-00008A060000}"/>
    <cellStyle name="Total 2 5" xfId="1666" xr:uid="{00000000-0005-0000-0000-00008B060000}"/>
    <cellStyle name="Total 2 6" xfId="1667" xr:uid="{00000000-0005-0000-0000-00008C060000}"/>
    <cellStyle name="Total 3" xfId="1668" xr:uid="{00000000-0005-0000-0000-00008D060000}"/>
    <cellStyle name="Total 3 2" xfId="1669" xr:uid="{00000000-0005-0000-0000-00008E060000}"/>
    <cellStyle name="Total 3 3" xfId="1670" xr:uid="{00000000-0005-0000-0000-00008F060000}"/>
    <cellStyle name="Total 3 4" xfId="1671" xr:uid="{00000000-0005-0000-0000-000090060000}"/>
    <cellStyle name="Total 3 5" xfId="1672" xr:uid="{00000000-0005-0000-0000-000091060000}"/>
    <cellStyle name="Total 4" xfId="1673" xr:uid="{00000000-0005-0000-0000-000092060000}"/>
    <cellStyle name="Total 4 2" xfId="1674" xr:uid="{00000000-0005-0000-0000-000093060000}"/>
    <cellStyle name="Total 4 3" xfId="1675" xr:uid="{00000000-0005-0000-0000-000094060000}"/>
    <cellStyle name="Total 4 4" xfId="1676" xr:uid="{00000000-0005-0000-0000-000095060000}"/>
    <cellStyle name="Total 4 5" xfId="1677" xr:uid="{00000000-0005-0000-0000-000096060000}"/>
    <cellStyle name="Total 5" xfId="1678" xr:uid="{00000000-0005-0000-0000-000097060000}"/>
    <cellStyle name="Total 5 2" xfId="1679" xr:uid="{00000000-0005-0000-0000-000098060000}"/>
    <cellStyle name="Total 5 3" xfId="1680" xr:uid="{00000000-0005-0000-0000-000099060000}"/>
    <cellStyle name="Total 5 4" xfId="1681" xr:uid="{00000000-0005-0000-0000-00009A060000}"/>
    <cellStyle name="Total 5 5" xfId="1682" xr:uid="{00000000-0005-0000-0000-00009B060000}"/>
    <cellStyle name="Total 6" xfId="1683" xr:uid="{00000000-0005-0000-0000-00009C060000}"/>
    <cellStyle name="Total 7" xfId="1684" xr:uid="{00000000-0005-0000-0000-00009D060000}"/>
    <cellStyle name="Total 8" xfId="1685" xr:uid="{00000000-0005-0000-0000-00009E060000}"/>
    <cellStyle name="Total 9" xfId="1686" xr:uid="{00000000-0005-0000-0000-00009F060000}"/>
    <cellStyle name="Tytu?" xfId="1687" xr:uid="{00000000-0005-0000-0000-0000A0060000}"/>
    <cellStyle name="Tytuł" xfId="1688" xr:uid="{00000000-0005-0000-0000-0000A1060000}"/>
    <cellStyle name="Uwaga" xfId="1689" xr:uid="{00000000-0005-0000-0000-0000A2060000}"/>
    <cellStyle name="Warning Text" xfId="1690" xr:uid="{00000000-0005-0000-0000-0000A3060000}"/>
    <cellStyle name="Warning Text 2" xfId="1691" xr:uid="{00000000-0005-0000-0000-0000A4060000}"/>
    <cellStyle name="Warning Text 3" xfId="1692" xr:uid="{00000000-0005-0000-0000-0000A5060000}"/>
    <cellStyle name="Warning Text 4" xfId="1693" xr:uid="{00000000-0005-0000-0000-0000A6060000}"/>
    <cellStyle name="Warning Text 5" xfId="1694" xr:uid="{00000000-0005-0000-0000-0000A7060000}"/>
    <cellStyle name="Z?e" xfId="1695" xr:uid="{00000000-0005-0000-0000-0000A8060000}"/>
    <cellStyle name="Złe" xfId="1696" xr:uid="{00000000-0005-0000-0000-0000A906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A6A6A6"/>
      <color rgb="FF000069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>
                <a:solidFill>
                  <a:srgbClr val="44546A"/>
                </a:solidFill>
              </a:rPr>
              <a:t>Composición por</a:t>
            </a:r>
            <a:r>
              <a:rPr lang="es-CL" sz="1200" b="1" baseline="0">
                <a:solidFill>
                  <a:srgbClr val="44546A"/>
                </a:solidFill>
              </a:rPr>
              <a:t> tasas</a:t>
            </a:r>
          </a:p>
          <a:p>
            <a:pPr>
              <a:defRPr/>
            </a:pPr>
            <a:r>
              <a:rPr lang="es-CL" sz="1200" b="1" baseline="0">
                <a:solidFill>
                  <a:srgbClr val="44546A"/>
                </a:solidFill>
              </a:rPr>
              <a:t>(%)</a:t>
            </a:r>
            <a:endParaRPr lang="es-CL" b="1">
              <a:solidFill>
                <a:srgbClr val="44546A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7.1674422881892685E-2"/>
                  <c:y val="-9.37340041183281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C375A0-65D6-4EF8-8F42-7B204D29C07F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;  </a:t>
                    </a:r>
                    <a:fld id="{F5981ECC-95B5-42C1-932C-6B608290968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4.7719957672176967E-2"/>
                  <c:y val="1.73917139699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A93E60-B4DA-4175-9507-D5D8DC57E8C2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; </a:t>
                    </a:r>
                    <a:fld id="{007A2E95-6E00-49B0-8AD7-33ECD067C83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42663803364722"/>
                      <c:h val="0.146216656645541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A6A6A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Financiera'!$F$13:$F$14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'Deuda Financiera'!$H$13:$H$14</c:f>
              <c:numCache>
                <c:formatCode>#,##0</c:formatCode>
                <c:ptCount val="2"/>
                <c:pt idx="0">
                  <c:v>1363055477</c:v>
                </c:pt>
                <c:pt idx="1">
                  <c:v>75157084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Composición por instrumentos</a:t>
            </a:r>
            <a:endParaRPr lang="es-CL" sz="1200" b="1" baseline="0">
              <a:solidFill>
                <a:srgbClr val="44546A"/>
              </a:solidFill>
              <a:effectLst/>
            </a:endParaRPr>
          </a:p>
          <a:p>
            <a:pPr>
              <a:defRPr sz="1200"/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(%)</a:t>
            </a:r>
            <a:endParaRPr lang="es-CL" sz="1200" b="1" baseline="0">
              <a:solidFill>
                <a:srgbClr val="44546A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26E-4AEB-8816-0E9D41644456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26E-4AEB-8816-0E9D41644456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6E-4AEB-8816-0E9D41644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6E-4AEB-8816-0E9D41644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26E-4AEB-8816-0E9D41644456}"/>
              </c:ext>
            </c:extLst>
          </c:dPt>
          <c:dLbls>
            <c:dLbl>
              <c:idx val="0"/>
              <c:layout>
                <c:manualLayout>
                  <c:x val="4.7631154539417513E-2"/>
                  <c:y val="2.0435291939840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6E-4AEB-8816-0E9D41644456}"/>
                </c:ext>
              </c:extLst>
            </c:dLbl>
            <c:dLbl>
              <c:idx val="1"/>
              <c:layout>
                <c:manualLayout>
                  <c:x val="0.29209562660089167"/>
                  <c:y val="-0.108257475665421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6E-4AEB-8816-0E9D41644456}"/>
                </c:ext>
              </c:extLst>
            </c:dLbl>
            <c:dLbl>
              <c:idx val="2"/>
              <c:layout>
                <c:manualLayout>
                  <c:x val="-7.9423014894222543E-2"/>
                  <c:y val="5.68386528260558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6E-4AEB-8816-0E9D41644456}"/>
                </c:ext>
              </c:extLst>
            </c:dLbl>
            <c:dLbl>
              <c:idx val="3"/>
              <c:layout>
                <c:manualLayout>
                  <c:x val="-0.34847633051892613"/>
                  <c:y val="-1.58465087138580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6E-4AEB-8816-0E9D416444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00006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Financiera'!$B$13:$B$16</c:f>
              <c:strCache>
                <c:ptCount val="4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  <c:pt idx="3">
                  <c:v>Pasivo por arrendamientos</c:v>
                </c:pt>
              </c:strCache>
            </c:strRef>
          </c:cat>
          <c:val>
            <c:numRef>
              <c:f>'Deuda Financiera'!$C$13:$C$16</c:f>
              <c:numCache>
                <c:formatCode>0.000000%</c:formatCode>
                <c:ptCount val="4"/>
                <c:pt idx="0">
                  <c:v>0.115</c:v>
                </c:pt>
                <c:pt idx="1">
                  <c:v>0.80800000000000005</c:v>
                </c:pt>
                <c:pt idx="2">
                  <c:v>7.2999999999999995E-2</c:v>
                </c:pt>
                <c:pt idx="3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E-4AEB-8816-0E9D416444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18</xdr:row>
      <xdr:rowOff>9524</xdr:rowOff>
    </xdr:from>
    <xdr:to>
      <xdr:col>11</xdr:col>
      <xdr:colOff>1343025</xdr:colOff>
      <xdr:row>40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83003</xdr:colOff>
      <xdr:row>18</xdr:row>
      <xdr:rowOff>54426</xdr:rowOff>
    </xdr:from>
    <xdr:to>
      <xdr:col>6</xdr:col>
      <xdr:colOff>690789</xdr:colOff>
      <xdr:row>40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&#176;F&#176;\2025\I%20Trimestre\03%20An&#225;lisis%20Razonado\AA\Tablas%20an&#225;lisis%20razonado%20AA_4T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E&#176;F&#176;\2024\IV%20Trimestre\03%20An&#225;lisis%20Razonado\AA\Tablas%20an&#225;lisis%20razonado%20AA_4T24.xlsx" TargetMode="External"/><Relationship Id="rId1" Type="http://schemas.openxmlformats.org/officeDocument/2006/relationships/externalLinkPath" Target="/E&#176;F&#176;/2024/IV%20Trimestre/03%20An&#225;lisis%20Razonado/AA/Tablas%20an&#225;lisis%20razonado%20AA_4T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E&#176;F&#176;\2025\I%20Trimestre\03%20An&#225;lisis%20Razonado\AA\Informaci&#243;n%20Analisis%20razonado%20AA_1T25%20-%20v2.xlsx" TargetMode="External"/><Relationship Id="rId1" Type="http://schemas.openxmlformats.org/officeDocument/2006/relationships/externalLinkPath" Target="Informaci&#243;n%20Analisis%20razonado%20AA_1T25%20-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estrales"/>
      <sheetName val="Estado de situación financiera"/>
      <sheetName val="Deuda Financiera"/>
      <sheetName val="Flujo de efectivo"/>
      <sheetName val="Indicadores"/>
      <sheetName val="Cálculos"/>
      <sheetName val="Anualizados"/>
      <sheetName val="Resultado"/>
      <sheetName val="Balance"/>
      <sheetName val="Flujo"/>
      <sheetName val="Valor ac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275004410</v>
          </cell>
        </row>
        <row r="7">
          <cell r="E7">
            <v>2148343319</v>
          </cell>
        </row>
        <row r="10">
          <cell r="E10">
            <v>361668126</v>
          </cell>
        </row>
        <row r="11">
          <cell r="E11">
            <v>1175540305</v>
          </cell>
        </row>
        <row r="12">
          <cell r="E12">
            <v>31468</v>
          </cell>
        </row>
        <row r="13">
          <cell r="E13">
            <v>886107830</v>
          </cell>
        </row>
        <row r="50">
          <cell r="C50">
            <v>662701294</v>
          </cell>
        </row>
        <row r="51">
          <cell r="C51">
            <v>-82122248</v>
          </cell>
        </row>
        <row r="52">
          <cell r="C52">
            <v>-83142518</v>
          </cell>
        </row>
        <row r="53">
          <cell r="C53">
            <v>-82220591</v>
          </cell>
        </row>
        <row r="54">
          <cell r="C54">
            <v>-216645</v>
          </cell>
        </row>
        <row r="55">
          <cell r="C55">
            <v>-7163962</v>
          </cell>
        </row>
        <row r="56">
          <cell r="C56">
            <v>-164836148</v>
          </cell>
        </row>
        <row r="58">
          <cell r="C58">
            <v>10052956</v>
          </cell>
        </row>
        <row r="59">
          <cell r="C59">
            <v>-49334397</v>
          </cell>
        </row>
        <row r="60">
          <cell r="C60">
            <v>349033</v>
          </cell>
        </row>
        <row r="61">
          <cell r="C61">
            <v>-45945172</v>
          </cell>
        </row>
        <row r="63">
          <cell r="C63">
            <v>526770</v>
          </cell>
        </row>
        <row r="66">
          <cell r="C66">
            <v>-34306718</v>
          </cell>
        </row>
        <row r="67">
          <cell r="C67">
            <v>0</v>
          </cell>
        </row>
        <row r="68">
          <cell r="C68">
            <v>2008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RepositorySheet"/>
      <sheetName val="Resultados"/>
      <sheetName val="Resultados por Segmento"/>
      <sheetName val="Resultados Trimestrales"/>
      <sheetName val="Estado de situación financiera"/>
      <sheetName val="Deuda Financiera"/>
      <sheetName val="Flujo de efectivo"/>
      <sheetName val="Indicadores"/>
      <sheetName val="Cálculos"/>
      <sheetName val="Anualizados"/>
      <sheetName val="Resultado"/>
      <sheetName val="Balance"/>
      <sheetName val="Flujo"/>
      <sheetName val="Valor ac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D18">
            <v>662701294</v>
          </cell>
        </row>
        <row r="19">
          <cell r="D19">
            <v>419485467</v>
          </cell>
        </row>
        <row r="20">
          <cell r="D20">
            <v>158648372</v>
          </cell>
        </row>
        <row r="21">
          <cell r="D21">
            <v>-49334397</v>
          </cell>
        </row>
        <row r="22">
          <cell r="D22">
            <v>290199344</v>
          </cell>
        </row>
        <row r="23">
          <cell r="D23">
            <v>124339646</v>
          </cell>
        </row>
        <row r="24">
          <cell r="D24">
            <v>-34306718</v>
          </cell>
        </row>
        <row r="25">
          <cell r="D25">
            <v>-82220591</v>
          </cell>
        </row>
        <row r="28">
          <cell r="D28">
            <v>282203771</v>
          </cell>
        </row>
        <row r="29">
          <cell r="D29">
            <v>-176341951</v>
          </cell>
        </row>
        <row r="30">
          <cell r="D30">
            <v>-106260070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ivo"/>
      <sheetName val="Pasivo"/>
      <sheetName val="Resultado"/>
      <sheetName val="Cambio Patrimonio"/>
      <sheetName val="Flujo"/>
      <sheetName val="N30 Segmentos"/>
    </sheetNames>
    <sheetDataSet>
      <sheetData sheetId="0">
        <row r="2">
          <cell r="D2">
            <v>45747</v>
          </cell>
        </row>
        <row r="5">
          <cell r="D5">
            <v>181996263</v>
          </cell>
          <cell r="E5">
            <v>108758431</v>
          </cell>
        </row>
        <row r="6">
          <cell r="D6">
            <v>7072303</v>
          </cell>
          <cell r="E6">
            <v>0</v>
          </cell>
        </row>
        <row r="7">
          <cell r="D7">
            <v>9160242</v>
          </cell>
          <cell r="E7">
            <v>3641630</v>
          </cell>
        </row>
        <row r="8">
          <cell r="D8">
            <v>139280053</v>
          </cell>
          <cell r="E8">
            <v>132404464</v>
          </cell>
        </row>
        <row r="9">
          <cell r="D9">
            <v>23978</v>
          </cell>
          <cell r="E9">
            <v>73679</v>
          </cell>
        </row>
        <row r="10">
          <cell r="D10">
            <v>11852116</v>
          </cell>
          <cell r="E10">
            <v>10476577</v>
          </cell>
        </row>
        <row r="11">
          <cell r="D11">
            <v>34114796</v>
          </cell>
          <cell r="E11">
            <v>33347482</v>
          </cell>
        </row>
        <row r="12">
          <cell r="D12">
            <v>383499751</v>
          </cell>
          <cell r="E12">
            <v>288702263</v>
          </cell>
        </row>
        <row r="14">
          <cell r="D14">
            <v>383499751</v>
          </cell>
          <cell r="E14">
            <v>288702263</v>
          </cell>
        </row>
        <row r="16">
          <cell r="D16">
            <v>12350641</v>
          </cell>
          <cell r="E16">
            <v>15898043</v>
          </cell>
        </row>
        <row r="17">
          <cell r="D17">
            <v>5458215</v>
          </cell>
          <cell r="E17">
            <v>6656551</v>
          </cell>
        </row>
        <row r="18">
          <cell r="D18">
            <v>3279437</v>
          </cell>
          <cell r="E18">
            <v>3440746</v>
          </cell>
        </row>
        <row r="19">
          <cell r="D19">
            <v>0</v>
          </cell>
          <cell r="E19">
            <v>0</v>
          </cell>
        </row>
        <row r="20">
          <cell r="D20">
            <v>618342676</v>
          </cell>
          <cell r="E20">
            <v>619303933</v>
          </cell>
        </row>
        <row r="21">
          <cell r="D21">
            <v>33823049</v>
          </cell>
          <cell r="E21">
            <v>33823049</v>
          </cell>
        </row>
        <row r="22">
          <cell r="D22">
            <v>2060788876</v>
          </cell>
          <cell r="E22">
            <v>2044544144</v>
          </cell>
        </row>
        <row r="23">
          <cell r="D23">
            <v>5476140</v>
          </cell>
          <cell r="E23">
            <v>3707341</v>
          </cell>
        </row>
        <row r="24">
          <cell r="D24">
            <v>2153470</v>
          </cell>
          <cell r="E24">
            <v>2083265</v>
          </cell>
        </row>
        <row r="26">
          <cell r="D26">
            <v>2741672504</v>
          </cell>
          <cell r="E26">
            <v>2729457072</v>
          </cell>
        </row>
        <row r="28">
          <cell r="D28">
            <v>3125172255</v>
          </cell>
          <cell r="E28">
            <v>3018159335</v>
          </cell>
        </row>
      </sheetData>
      <sheetData sheetId="1">
        <row r="5">
          <cell r="D5">
            <v>73843803</v>
          </cell>
          <cell r="E5">
            <v>116332739</v>
          </cell>
        </row>
        <row r="6">
          <cell r="D6">
            <v>2410806</v>
          </cell>
          <cell r="E6">
            <v>1802206</v>
          </cell>
        </row>
        <row r="7">
          <cell r="D7">
            <v>152707150</v>
          </cell>
          <cell r="E7">
            <v>184642753</v>
          </cell>
        </row>
        <row r="8">
          <cell r="D8">
            <v>1465346</v>
          </cell>
          <cell r="E8">
            <v>22293636</v>
          </cell>
        </row>
        <row r="9">
          <cell r="D9">
            <v>1415555</v>
          </cell>
          <cell r="E9">
            <v>1060276</v>
          </cell>
        </row>
        <row r="10">
          <cell r="D10">
            <v>691045</v>
          </cell>
          <cell r="E10">
            <v>538435</v>
          </cell>
        </row>
        <row r="11">
          <cell r="D11">
            <v>3763334</v>
          </cell>
          <cell r="E11">
            <v>7471420</v>
          </cell>
        </row>
        <row r="12">
          <cell r="D12">
            <v>19950954</v>
          </cell>
          <cell r="E12">
            <v>17372024</v>
          </cell>
        </row>
        <row r="13">
          <cell r="D13">
            <v>256247993</v>
          </cell>
          <cell r="E13">
            <v>351513489</v>
          </cell>
        </row>
        <row r="14">
          <cell r="D14">
            <v>0</v>
          </cell>
          <cell r="E14">
            <v>0</v>
          </cell>
        </row>
        <row r="15">
          <cell r="D15">
            <v>256247993</v>
          </cell>
          <cell r="E15">
            <v>351513489</v>
          </cell>
        </row>
        <row r="17">
          <cell r="D17">
            <v>1358226848</v>
          </cell>
          <cell r="E17">
            <v>1205884299</v>
          </cell>
        </row>
        <row r="18">
          <cell r="D18">
            <v>3731104</v>
          </cell>
          <cell r="E18">
            <v>2578760</v>
          </cell>
        </row>
        <row r="19">
          <cell r="D19">
            <v>1360344</v>
          </cell>
          <cell r="E19">
            <v>1362795</v>
          </cell>
        </row>
        <row r="20">
          <cell r="D20">
            <v>0</v>
          </cell>
          <cell r="E20">
            <v>0</v>
          </cell>
        </row>
        <row r="21">
          <cell r="D21">
            <v>1933401</v>
          </cell>
          <cell r="E21">
            <v>1908445</v>
          </cell>
        </row>
        <row r="22">
          <cell r="D22">
            <v>131552302</v>
          </cell>
          <cell r="E22">
            <v>130710566</v>
          </cell>
        </row>
        <row r="23">
          <cell r="D23">
            <v>24475443</v>
          </cell>
          <cell r="E23">
            <v>24484390</v>
          </cell>
        </row>
        <row r="24">
          <cell r="D24">
            <v>7689659</v>
          </cell>
          <cell r="E24">
            <v>7601123</v>
          </cell>
        </row>
        <row r="25">
          <cell r="D25">
            <v>1528969101</v>
          </cell>
          <cell r="E25">
            <v>1374530378</v>
          </cell>
        </row>
        <row r="27">
          <cell r="D27">
            <v>1785217094</v>
          </cell>
          <cell r="E27">
            <v>1726043867</v>
          </cell>
        </row>
        <row r="29">
          <cell r="D29">
            <v>155567354</v>
          </cell>
          <cell r="E29">
            <v>155567354</v>
          </cell>
        </row>
        <row r="30">
          <cell r="D30">
            <v>457943203</v>
          </cell>
          <cell r="E30">
            <v>407021368</v>
          </cell>
        </row>
        <row r="31">
          <cell r="D31">
            <v>164064038</v>
          </cell>
          <cell r="E31">
            <v>164064038</v>
          </cell>
        </row>
        <row r="32">
          <cell r="D32">
            <v>-5965550</v>
          </cell>
          <cell r="E32">
            <v>-5965550</v>
          </cell>
        </row>
        <row r="33">
          <cell r="D33">
            <v>568297358</v>
          </cell>
          <cell r="E33">
            <v>571379740</v>
          </cell>
        </row>
        <row r="34">
          <cell r="D34">
            <v>1339906403</v>
          </cell>
          <cell r="E34">
            <v>1292066950</v>
          </cell>
        </row>
        <row r="35">
          <cell r="D35">
            <v>48758</v>
          </cell>
          <cell r="E35">
            <v>48518</v>
          </cell>
        </row>
        <row r="36">
          <cell r="D36">
            <v>1339955161</v>
          </cell>
          <cell r="E36">
            <v>1292115468</v>
          </cell>
        </row>
        <row r="37">
          <cell r="D37">
            <v>0</v>
          </cell>
          <cell r="E37">
            <v>0</v>
          </cell>
        </row>
        <row r="38">
          <cell r="D38">
            <v>3125172255</v>
          </cell>
          <cell r="E38">
            <v>3018159335</v>
          </cell>
        </row>
      </sheetData>
      <sheetData sheetId="2">
        <row r="2">
          <cell r="B2" t="str">
            <v xml:space="preserve">ESTADOS DE RESULTADOS POR NATURALEZA </v>
          </cell>
          <cell r="C2" t="str">
            <v>Nota</v>
          </cell>
          <cell r="D2">
            <v>45747</v>
          </cell>
          <cell r="E2">
            <v>45382</v>
          </cell>
          <cell r="G2" t="str">
            <v>Var. Acum</v>
          </cell>
        </row>
        <row r="3">
          <cell r="D3" t="str">
            <v>M$</v>
          </cell>
          <cell r="E3" t="str">
            <v>M$</v>
          </cell>
        </row>
        <row r="4">
          <cell r="B4" t="str">
            <v>Ingresos de actividades ordinarias</v>
          </cell>
          <cell r="C4">
            <v>25</v>
          </cell>
          <cell r="D4">
            <v>197436623</v>
          </cell>
          <cell r="E4">
            <v>189140192</v>
          </cell>
          <cell r="G4">
            <v>8296431</v>
          </cell>
        </row>
        <row r="5">
          <cell r="B5" t="str">
            <v>Materias primas y consumibles utilizados</v>
          </cell>
          <cell r="D5">
            <v>-22602691</v>
          </cell>
          <cell r="E5">
            <v>-21680487</v>
          </cell>
          <cell r="G5">
            <v>-922204</v>
          </cell>
        </row>
        <row r="6">
          <cell r="B6" t="str">
            <v>Gastos por beneficios a los empleados</v>
          </cell>
          <cell r="C6">
            <v>20</v>
          </cell>
          <cell r="D6">
            <v>-19862094</v>
          </cell>
          <cell r="E6">
            <v>-18746545</v>
          </cell>
          <cell r="G6">
            <v>-1115549</v>
          </cell>
        </row>
        <row r="7">
          <cell r="B7" t="str">
            <v>Gasto por depreciación y amortización</v>
          </cell>
          <cell r="C7" t="str">
            <v>12-14-15</v>
          </cell>
          <cell r="D7">
            <v>-20703954</v>
          </cell>
          <cell r="E7">
            <v>-19972547</v>
          </cell>
          <cell r="G7">
            <v>-731407</v>
          </cell>
        </row>
        <row r="8">
          <cell r="B8" t="str">
            <v>Pérdidas por deterioro de valor (reversiones de pérdidas por deterioro de valor) reconocidas en el resultado del periodo</v>
          </cell>
          <cell r="C8">
            <v>14</v>
          </cell>
          <cell r="D8">
            <v>0</v>
          </cell>
          <cell r="E8">
            <v>0</v>
          </cell>
          <cell r="G8">
            <v>0</v>
          </cell>
        </row>
        <row r="9">
          <cell r="B9" t="str">
            <v>Otros gastos, por naturaleza</v>
          </cell>
          <cell r="C9">
            <v>26</v>
          </cell>
          <cell r="D9">
            <v>-40772822</v>
          </cell>
          <cell r="E9">
            <v>-37534389</v>
          </cell>
          <cell r="G9">
            <v>-3238433</v>
          </cell>
        </row>
        <row r="10">
          <cell r="B10" t="str">
            <v>Otras ganancias (pérdidas)</v>
          </cell>
          <cell r="C10">
            <v>27</v>
          </cell>
          <cell r="D10">
            <v>-564157</v>
          </cell>
          <cell r="E10">
            <v>3150580</v>
          </cell>
          <cell r="G10">
            <v>-3714737</v>
          </cell>
        </row>
        <row r="11">
          <cell r="B11" t="str">
            <v>Ganancias de actividades operacionales</v>
          </cell>
          <cell r="D11">
            <v>92930905</v>
          </cell>
          <cell r="E11">
            <v>94356804</v>
          </cell>
          <cell r="G11">
            <v>-1425899</v>
          </cell>
        </row>
        <row r="12">
          <cell r="B12" t="str">
            <v>Ingresos financieros</v>
          </cell>
          <cell r="C12">
            <v>27</v>
          </cell>
          <cell r="D12">
            <v>3274803</v>
          </cell>
          <cell r="E12">
            <v>2018035</v>
          </cell>
          <cell r="G12">
            <v>1256768</v>
          </cell>
        </row>
        <row r="13">
          <cell r="B13" t="str">
            <v>Costos financieros</v>
          </cell>
          <cell r="C13">
            <v>27</v>
          </cell>
          <cell r="D13">
            <v>-14125412</v>
          </cell>
          <cell r="E13">
            <v>-11555871</v>
          </cell>
          <cell r="G13">
            <v>-2569541</v>
          </cell>
        </row>
        <row r="14">
          <cell r="B14" t="str">
            <v>Ganancias por deterioro y reversos de pérdidas por deterioro (Pérdidas por deterioro) determinado de acuerdo con NIIF 9  sobre activos financieros</v>
          </cell>
          <cell r="C14">
            <v>24</v>
          </cell>
          <cell r="D14">
            <v>-2667391</v>
          </cell>
          <cell r="E14">
            <v>-4025436</v>
          </cell>
          <cell r="G14">
            <v>1358045</v>
          </cell>
        </row>
        <row r="15">
          <cell r="B15" t="str">
            <v>Ganancias (pérdidas) de cambio en moneda extranjera</v>
          </cell>
          <cell r="C15">
            <v>28</v>
          </cell>
          <cell r="D15">
            <v>-63524</v>
          </cell>
          <cell r="E15">
            <v>-12300</v>
          </cell>
          <cell r="G15">
            <v>-51224</v>
          </cell>
        </row>
        <row r="16">
          <cell r="B16" t="str">
            <v>Resultado por unidades reajustables</v>
          </cell>
          <cell r="C16">
            <v>29</v>
          </cell>
          <cell r="D16">
            <v>-15964485</v>
          </cell>
          <cell r="E16">
            <v>-8346657</v>
          </cell>
          <cell r="G16">
            <v>-7617828</v>
          </cell>
        </row>
        <row r="17">
          <cell r="B17" t="str">
            <v>Participación en las ganancias (pérdidas) de asociadas y negocion conjuntos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</row>
        <row r="18">
          <cell r="B18" t="str">
            <v>Ganancia antes de impuestos</v>
          </cell>
          <cell r="D18">
            <v>63384896</v>
          </cell>
          <cell r="E18">
            <v>72434575</v>
          </cell>
          <cell r="G18">
            <v>-9049679</v>
          </cell>
        </row>
        <row r="19">
          <cell r="B19" t="str">
            <v>Gastos por impuestos a las ganancias</v>
          </cell>
          <cell r="C19">
            <v>16</v>
          </cell>
          <cell r="D19">
            <v>-12462821</v>
          </cell>
          <cell r="E19">
            <v>-17524580</v>
          </cell>
          <cell r="G19">
            <v>5061759</v>
          </cell>
        </row>
        <row r="20">
          <cell r="B20" t="str">
            <v>Ganancia procedente de operaciones continuadas</v>
          </cell>
          <cell r="D20">
            <v>50922075</v>
          </cell>
          <cell r="E20">
            <v>54909995</v>
          </cell>
          <cell r="G20">
            <v>-3987920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B23" t="str">
            <v>Ganancia</v>
          </cell>
          <cell r="D23">
            <v>50922075</v>
          </cell>
          <cell r="E23">
            <v>54909995</v>
          </cell>
          <cell r="G23">
            <v>-3987920</v>
          </cell>
        </row>
        <row r="24">
          <cell r="B24" t="str">
            <v>Ganancia atribuible a</v>
          </cell>
        </row>
        <row r="25">
          <cell r="B25" t="str">
            <v>Ganancia atribuible a los propietarios de la controladora</v>
          </cell>
          <cell r="D25">
            <v>50921120</v>
          </cell>
          <cell r="E25">
            <v>54909068</v>
          </cell>
          <cell r="G25">
            <v>-3987948</v>
          </cell>
        </row>
        <row r="26">
          <cell r="B26" t="str">
            <v>Ganancia, atribuible a participaciones no controla</v>
          </cell>
          <cell r="C26">
            <v>23</v>
          </cell>
          <cell r="D26">
            <v>955</v>
          </cell>
          <cell r="E26">
            <v>927</v>
          </cell>
          <cell r="G26">
            <v>28</v>
          </cell>
        </row>
        <row r="27">
          <cell r="B27" t="str">
            <v xml:space="preserve">Ganancia </v>
          </cell>
          <cell r="D27">
            <v>50922075</v>
          </cell>
          <cell r="E27">
            <v>54909995</v>
          </cell>
          <cell r="G27">
            <v>-3987920</v>
          </cell>
        </row>
        <row r="28">
          <cell r="B28" t="str">
            <v xml:space="preserve">Ganancias por acción </v>
          </cell>
        </row>
        <row r="29">
          <cell r="B29" t="str">
            <v>Ganancias por acción básica en operaciones continuadas ($)</v>
          </cell>
          <cell r="C29">
            <v>31</v>
          </cell>
          <cell r="D29">
            <v>8.3219999999999992</v>
          </cell>
          <cell r="E29">
            <v>8.9740000000000002</v>
          </cell>
        </row>
        <row r="30">
          <cell r="B30" t="str">
            <v>Ganancias por acción básica ($)</v>
          </cell>
          <cell r="C30">
            <v>0</v>
          </cell>
          <cell r="D30">
            <v>8.3219999999999992</v>
          </cell>
          <cell r="E30">
            <v>8.9740000000000002</v>
          </cell>
        </row>
        <row r="32">
          <cell r="B32" t="str">
            <v>ESTADOS DE RESULTADOS INTEGRALES</v>
          </cell>
          <cell r="C32" t="str">
            <v>Nota</v>
          </cell>
          <cell r="D32">
            <v>45747</v>
          </cell>
          <cell r="E32">
            <v>45382</v>
          </cell>
        </row>
        <row r="33">
          <cell r="D33" t="str">
            <v>M$</v>
          </cell>
          <cell r="E33" t="str">
            <v>M$</v>
          </cell>
        </row>
        <row r="35">
          <cell r="B35" t="str">
            <v>Ganancia</v>
          </cell>
          <cell r="D35">
            <v>50922075</v>
          </cell>
          <cell r="E35">
            <v>54909995</v>
          </cell>
        </row>
        <row r="36">
          <cell r="B36" t="str">
            <v>OTRO RESULTADO INTEGRAL</v>
          </cell>
        </row>
        <row r="37">
          <cell r="B37" t="str">
            <v>Componentes de otro resultado integral que no se reclasificarán al resultado del período, antes de impuestos</v>
          </cell>
          <cell r="C37">
            <v>0</v>
          </cell>
          <cell r="D37">
            <v>0</v>
          </cell>
          <cell r="E37">
            <v>0</v>
          </cell>
        </row>
        <row r="38">
          <cell r="B38" t="str">
            <v>Otro resultado integral, antes de impuestos, ganancias (pérdidas) por revaluación</v>
          </cell>
          <cell r="C38">
            <v>12</v>
          </cell>
          <cell r="D38">
            <v>0</v>
          </cell>
          <cell r="E38">
            <v>0</v>
          </cell>
          <cell r="F38">
            <v>0</v>
          </cell>
        </row>
        <row r="39">
          <cell r="B39" t="str">
            <v>Otro resultado integral, antes de impuestos, ganancias (pérdidas) por nuevas mediciones de planes de beneficios definidos</v>
          </cell>
          <cell r="C39">
            <v>20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Otro resultado integral que no se reclasificará al resultado del período, antes de impuestos</v>
          </cell>
          <cell r="C40">
            <v>0</v>
          </cell>
          <cell r="D40">
            <v>0</v>
          </cell>
          <cell r="E40">
            <v>0</v>
          </cell>
        </row>
        <row r="42">
          <cell r="B42" t="str">
            <v>Componentes de otro resultado integral que se reclasificarán al resultado del período, antes de impuestos</v>
          </cell>
        </row>
        <row r="43">
          <cell r="B43" t="str">
            <v xml:space="preserve">Coberturas de flujo de efectivo </v>
          </cell>
        </row>
        <row r="44">
          <cell r="B44" t="str">
            <v>Ganancias (pérdidas) por coberturas de flujos de efectivo</v>
          </cell>
          <cell r="D44">
            <v>-4222441</v>
          </cell>
          <cell r="E44">
            <v>1665236</v>
          </cell>
          <cell r="F44">
            <v>0</v>
          </cell>
          <cell r="G44">
            <v>0</v>
          </cell>
        </row>
        <row r="45">
          <cell r="B45" t="str">
            <v>Total otro resultado integral que se reclasificará al resultado del periodo</v>
          </cell>
          <cell r="D45">
            <v>-4222441</v>
          </cell>
          <cell r="E45">
            <v>1665236</v>
          </cell>
          <cell r="G45">
            <v>1</v>
          </cell>
        </row>
        <row r="46">
          <cell r="F46">
            <v>0</v>
          </cell>
          <cell r="G46">
            <v>0.73</v>
          </cell>
        </row>
        <row r="47">
          <cell r="B47" t="str">
            <v>Otros componentes de otro resultado integral, antes de impuestos</v>
          </cell>
          <cell r="D47">
            <v>-4222441</v>
          </cell>
          <cell r="E47">
            <v>1665236</v>
          </cell>
          <cell r="F47">
            <v>0</v>
          </cell>
          <cell r="G47">
            <v>1</v>
          </cell>
        </row>
        <row r="49">
          <cell r="B49" t="str">
            <v>Impuestos a las ganancias relativos a componentes de otro resultado integral que no se reclasificará al resultado del período</v>
          </cell>
          <cell r="C49">
            <v>0</v>
          </cell>
          <cell r="D49">
            <v>0</v>
          </cell>
          <cell r="E49">
            <v>0</v>
          </cell>
        </row>
        <row r="50">
          <cell r="B50" t="str">
            <v xml:space="preserve">Impuesto a las ganancias relacionado con cambios en el superávit de revaluación de otro resultado integral </v>
          </cell>
          <cell r="C50">
            <v>0</v>
          </cell>
          <cell r="D50">
            <v>0</v>
          </cell>
          <cell r="E50">
            <v>0</v>
          </cell>
        </row>
        <row r="51">
          <cell r="B51" t="str">
            <v>Impuesto a las ganancias relativo a nuevas mediciones de planes de beneficios definidos de otro resultado integral</v>
          </cell>
          <cell r="C51">
            <v>0</v>
          </cell>
          <cell r="D51">
            <v>0</v>
          </cell>
          <cell r="E51">
            <v>0</v>
          </cell>
        </row>
        <row r="52">
          <cell r="B52" t="str">
            <v>Total Impuestos a las ganancias relativos a componentes de otro resultado integral que no se reclasificará al resultado del período</v>
          </cell>
          <cell r="C52">
            <v>0</v>
          </cell>
          <cell r="D52">
            <v>0</v>
          </cell>
          <cell r="E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B54" t="str">
            <v>Impuestos a las ganancias relativos a componentes de otro resultado integral que no se reclasificará al resultado del período</v>
          </cell>
        </row>
        <row r="55">
          <cell r="B55" t="str">
            <v>Impuestos Ganancias (pérdidas) por coberturas de flujos de efectivo</v>
          </cell>
          <cell r="D55">
            <v>1140059</v>
          </cell>
          <cell r="E55">
            <v>-449614</v>
          </cell>
        </row>
        <row r="56">
          <cell r="B56" t="str">
            <v>Total Impuestos a las ganancias relativos a componentes de otro resultado integral que se reclasificará al resultado del período</v>
          </cell>
          <cell r="D56">
            <v>1140059</v>
          </cell>
          <cell r="E56">
            <v>-449614</v>
          </cell>
        </row>
        <row r="58">
          <cell r="B58" t="str">
            <v xml:space="preserve">Total otro resultado integral </v>
          </cell>
          <cell r="D58">
            <v>-3082382</v>
          </cell>
          <cell r="E58">
            <v>1215622</v>
          </cell>
          <cell r="F58">
            <v>-3082382</v>
          </cell>
          <cell r="G58">
            <v>0</v>
          </cell>
        </row>
        <row r="60">
          <cell r="B60" t="str">
            <v>TOTAL RESULTADO INTEGRAL</v>
          </cell>
          <cell r="D60">
            <v>47839693</v>
          </cell>
          <cell r="E60">
            <v>56125617</v>
          </cell>
        </row>
        <row r="61">
          <cell r="B61" t="str">
            <v>Resultado integral atribuible a:</v>
          </cell>
        </row>
        <row r="62">
          <cell r="B62" t="str">
            <v>Resultado integral atribuible a los propietarios de la controladora</v>
          </cell>
          <cell r="D62">
            <v>47838738</v>
          </cell>
          <cell r="E62">
            <v>56124690</v>
          </cell>
        </row>
        <row r="63">
          <cell r="B63" t="str">
            <v>Resultado integral atribuible a participaciones no controladoras</v>
          </cell>
          <cell r="D63">
            <v>955</v>
          </cell>
          <cell r="E63">
            <v>927</v>
          </cell>
        </row>
        <row r="64">
          <cell r="B64" t="str">
            <v>Resultado integral total</v>
          </cell>
          <cell r="D64">
            <v>47839693</v>
          </cell>
          <cell r="E64">
            <v>56125617</v>
          </cell>
        </row>
        <row r="66">
          <cell r="D66">
            <v>0</v>
          </cell>
          <cell r="E66">
            <v>0</v>
          </cell>
        </row>
      </sheetData>
      <sheetData sheetId="3"/>
      <sheetData sheetId="4">
        <row r="3">
          <cell r="B3" t="str">
            <v>Estado de Flujo de efectivo directo</v>
          </cell>
          <cell r="C3" t="str">
            <v>Nota</v>
          </cell>
          <cell r="D3">
            <v>45747</v>
          </cell>
          <cell r="E3">
            <v>45382</v>
          </cell>
        </row>
        <row r="4">
          <cell r="D4" t="str">
            <v>M$</v>
          </cell>
          <cell r="E4" t="str">
            <v>M$</v>
          </cell>
        </row>
        <row r="5">
          <cell r="B5" t="str">
            <v>Cobros procedentes de las ventas de bienes y prestación de servicios</v>
          </cell>
          <cell r="D5">
            <v>221627966</v>
          </cell>
          <cell r="E5">
            <v>209483331</v>
          </cell>
        </row>
        <row r="6">
          <cell r="B6" t="str">
            <v>Cobros procedentes de regalías, cuotas, comisiones y otros ingresos de actividades ordinarias</v>
          </cell>
          <cell r="D6">
            <v>0</v>
          </cell>
          <cell r="E6">
            <v>0</v>
          </cell>
        </row>
        <row r="7">
          <cell r="B7" t="str">
            <v>Cobros procedentes de contratos mantenidos con propósitos de intermediación o para negociar</v>
          </cell>
          <cell r="D7">
            <v>0</v>
          </cell>
          <cell r="E7">
            <v>0</v>
          </cell>
        </row>
        <row r="8">
          <cell r="B8" t="str">
            <v>Cobros procedentes de primas y prestaciones, anualidades y otros beneficios de pólizas suscritas</v>
          </cell>
          <cell r="D8">
            <v>0</v>
          </cell>
          <cell r="E8">
            <v>0</v>
          </cell>
        </row>
        <row r="9">
          <cell r="B9" t="str">
            <v>Otros cobros por actividades de operación</v>
          </cell>
          <cell r="D9">
            <v>501929</v>
          </cell>
          <cell r="E9">
            <v>2092287</v>
          </cell>
        </row>
        <row r="10">
          <cell r="B10" t="str">
            <v xml:space="preserve">Clases de cobros por actividades de operación </v>
          </cell>
          <cell r="D10">
            <v>222129895</v>
          </cell>
          <cell r="E10">
            <v>211575618</v>
          </cell>
        </row>
        <row r="11">
          <cell r="B11" t="str">
            <v>Pagos a proveedores por el suministro de bienes y servicios</v>
          </cell>
          <cell r="D11">
            <v>-80168216</v>
          </cell>
          <cell r="E11">
            <v>-80782172</v>
          </cell>
        </row>
        <row r="12">
          <cell r="B12" t="str">
            <v>Pagos procedentes de contratos mantenidos para intermediación o para negociar</v>
          </cell>
          <cell r="D12">
            <v>0</v>
          </cell>
          <cell r="E12">
            <v>0</v>
          </cell>
        </row>
        <row r="13">
          <cell r="B13" t="str">
            <v>Pagos a y por cuenta de los empleados</v>
          </cell>
          <cell r="D13">
            <v>-24830160</v>
          </cell>
          <cell r="E13">
            <v>-22815603</v>
          </cell>
        </row>
        <row r="14">
          <cell r="B14" t="str">
            <v>Pagos por primas y prestaciones, anualidades y otras obligaciones derivadas de las pólizas suscritas</v>
          </cell>
          <cell r="D14">
            <v>0</v>
          </cell>
          <cell r="E14">
            <v>0</v>
          </cell>
        </row>
        <row r="15">
          <cell r="B15" t="str">
            <v>Otros pagos por actividades de operación</v>
          </cell>
          <cell r="D15">
            <v>-21124239</v>
          </cell>
          <cell r="E15">
            <v>-15874983</v>
          </cell>
        </row>
        <row r="16">
          <cell r="B16" t="str">
            <v>Clases de pagos en efectivo procedentes de actividades de operación</v>
          </cell>
          <cell r="D16">
            <v>-126122615</v>
          </cell>
          <cell r="E16">
            <v>-119472758</v>
          </cell>
        </row>
        <row r="17">
          <cell r="B17" t="str">
            <v>Dividendos pagados</v>
          </cell>
          <cell r="D17">
            <v>0</v>
          </cell>
          <cell r="E17">
            <v>0</v>
          </cell>
        </row>
        <row r="18">
          <cell r="B18" t="str">
            <v>Dividendos recibidos</v>
          </cell>
          <cell r="D18">
            <v>0</v>
          </cell>
          <cell r="E18">
            <v>0</v>
          </cell>
        </row>
        <row r="19">
          <cell r="B19" t="str">
            <v>Intereses pagados</v>
          </cell>
          <cell r="D19">
            <v>0</v>
          </cell>
          <cell r="E19">
            <v>0</v>
          </cell>
        </row>
        <row r="20">
          <cell r="B20" t="str">
            <v>Intereses recibidos</v>
          </cell>
          <cell r="D20">
            <v>0</v>
          </cell>
          <cell r="E20">
            <v>0</v>
          </cell>
        </row>
        <row r="21">
          <cell r="B21" t="str">
            <v xml:space="preserve">Impuestos a las ganancias (pagados) </v>
          </cell>
          <cell r="D21">
            <v>-9855915</v>
          </cell>
          <cell r="E21">
            <v>-13225213</v>
          </cell>
        </row>
        <row r="22">
          <cell r="B22" t="str">
            <v>Otras entradas (salidas) de efectivo</v>
          </cell>
          <cell r="D22">
            <v>-9266518</v>
          </cell>
          <cell r="E22">
            <v>-11225862</v>
          </cell>
        </row>
        <row r="23">
          <cell r="B23" t="str">
            <v>Flujos de efectivo procedentes de (utilizados en) actividades de operación</v>
          </cell>
          <cell r="D23">
            <v>76884847</v>
          </cell>
          <cell r="E23">
            <v>67651785</v>
          </cell>
        </row>
        <row r="24">
          <cell r="B24" t="str">
            <v>Flujos de efectivo procedentes de la pérdida de control de subsidiarias u otros negocios</v>
          </cell>
          <cell r="D24">
            <v>0</v>
          </cell>
          <cell r="E24">
            <v>0</v>
          </cell>
        </row>
        <row r="25">
          <cell r="B25" t="str">
            <v>Flujos de efectivo utilizados para obtener el control de subsidiarias u otros negocios</v>
          </cell>
          <cell r="D25">
            <v>0</v>
          </cell>
          <cell r="E25">
            <v>0</v>
          </cell>
        </row>
        <row r="26">
          <cell r="B26" t="str">
            <v>Flujos de efectivo utilizados en la compra de participaciones no controladoras</v>
          </cell>
          <cell r="D26">
            <v>0</v>
          </cell>
          <cell r="E26">
            <v>0</v>
          </cell>
        </row>
        <row r="27">
          <cell r="B27" t="str">
            <v>Otros cobros por la venta de patrimonio o instrumentos de deuda de otras entidades</v>
          </cell>
          <cell r="D27">
            <v>0</v>
          </cell>
          <cell r="E27">
            <v>0</v>
          </cell>
        </row>
        <row r="28">
          <cell r="B28" t="str">
            <v>Otros pagos para adquirir patrimonio o instrumentos de deuda de otras entidades</v>
          </cell>
          <cell r="D28">
            <v>0</v>
          </cell>
          <cell r="E28">
            <v>0</v>
          </cell>
        </row>
        <row r="29">
          <cell r="B29" t="str">
            <v>Otros cobros por la venta de participaciones en negocios conjuntos</v>
          </cell>
          <cell r="D29">
            <v>0</v>
          </cell>
          <cell r="E29">
            <v>0</v>
          </cell>
        </row>
        <row r="30">
          <cell r="B30" t="str">
            <v>Otros pagos para adquirir participaciones en negocios conjuntos</v>
          </cell>
          <cell r="D30">
            <v>0</v>
          </cell>
          <cell r="E30">
            <v>0</v>
          </cell>
        </row>
        <row r="31">
          <cell r="B31" t="str">
            <v>Préstamos a entidades relacionadas</v>
          </cell>
          <cell r="D31">
            <v>0</v>
          </cell>
          <cell r="E31">
            <v>0</v>
          </cell>
        </row>
        <row r="32">
          <cell r="B32" t="str">
            <v>Importes procedentes de ventas de propiedades, planta y equipo</v>
          </cell>
          <cell r="D32">
            <v>0</v>
          </cell>
          <cell r="E32">
            <v>4032104</v>
          </cell>
        </row>
        <row r="33">
          <cell r="B33" t="str">
            <v>Compras de propiedades, planta y equipo</v>
          </cell>
          <cell r="D33">
            <v>-45310234</v>
          </cell>
          <cell r="E33">
            <v>-65061543</v>
          </cell>
        </row>
        <row r="34">
          <cell r="B34" t="str">
            <v>Importes procedentes de ventas de activos intangibles</v>
          </cell>
          <cell r="D34">
            <v>0</v>
          </cell>
          <cell r="E34">
            <v>0</v>
          </cell>
        </row>
        <row r="35">
          <cell r="B35" t="str">
            <v>Compras de activos intangibles</v>
          </cell>
          <cell r="D35">
            <v>-1627623</v>
          </cell>
          <cell r="E35">
            <v>-1218488</v>
          </cell>
        </row>
        <row r="36">
          <cell r="B36" t="str">
            <v>Recursos por ventas de otros activos a largo plazo</v>
          </cell>
          <cell r="D36">
            <v>0</v>
          </cell>
          <cell r="E36">
            <v>0</v>
          </cell>
        </row>
        <row r="37">
          <cell r="B37" t="str">
            <v>Compras de otros activos a largo plazo</v>
          </cell>
          <cell r="D37">
            <v>0</v>
          </cell>
          <cell r="E37">
            <v>0</v>
          </cell>
        </row>
        <row r="38">
          <cell r="B38" t="str">
            <v>Importes procedentes de subvenciones del gobierno</v>
          </cell>
          <cell r="D38">
            <v>0</v>
          </cell>
          <cell r="E38">
            <v>0</v>
          </cell>
        </row>
        <row r="39">
          <cell r="B39" t="str">
            <v>Anticipos de efectivo y préstamos concedidos a terceros</v>
          </cell>
          <cell r="D39">
            <v>0</v>
          </cell>
          <cell r="E39">
            <v>0</v>
          </cell>
        </row>
        <row r="40">
          <cell r="B40" t="str">
            <v>Cobros procedentes del reembolso de anticipos y préstamos concedidos a terceros</v>
          </cell>
          <cell r="D40">
            <v>0</v>
          </cell>
          <cell r="E40">
            <v>0</v>
          </cell>
        </row>
        <row r="41">
          <cell r="B41" t="str">
            <v>Pagos derivados de contratos de futuro, a término, de opciones y de permuta financiera</v>
          </cell>
          <cell r="D41">
            <v>0</v>
          </cell>
          <cell r="E41">
            <v>0</v>
          </cell>
        </row>
        <row r="42">
          <cell r="B42" t="str">
            <v>Cobros procedentes de contratos de futuro, a término, de opciones y de permuta financiera</v>
          </cell>
          <cell r="D42">
            <v>0</v>
          </cell>
          <cell r="E42">
            <v>0</v>
          </cell>
        </row>
        <row r="43">
          <cell r="B43" t="str">
            <v>Cobros a entidades relacionadas</v>
          </cell>
          <cell r="D43">
            <v>0</v>
          </cell>
          <cell r="E43">
            <v>0</v>
          </cell>
        </row>
        <row r="44">
          <cell r="B44" t="str">
            <v>Dividendos recibidos</v>
          </cell>
          <cell r="D44">
            <v>0</v>
          </cell>
          <cell r="E44">
            <v>0</v>
          </cell>
        </row>
        <row r="45">
          <cell r="B45" t="str">
            <v>Intereses recibidos</v>
          </cell>
          <cell r="D45">
            <v>2314770</v>
          </cell>
          <cell r="E45">
            <v>1575023</v>
          </cell>
        </row>
        <row r="46">
          <cell r="B46" t="str">
            <v>Impuestos a las ganancias reembolsados (pagados)</v>
          </cell>
          <cell r="D46">
            <v>0</v>
          </cell>
          <cell r="E46">
            <v>0</v>
          </cell>
        </row>
        <row r="47">
          <cell r="B47" t="str">
            <v>Otras entradas (salidas) de efectivo</v>
          </cell>
          <cell r="D47">
            <v>0</v>
          </cell>
          <cell r="E47">
            <v>0</v>
          </cell>
        </row>
        <row r="48">
          <cell r="B48" t="str">
            <v>Flujos de efectivo procedentes de (utilizados en) actividades de inversión</v>
          </cell>
          <cell r="D48">
            <v>-44623087</v>
          </cell>
          <cell r="E48">
            <v>-60672904</v>
          </cell>
        </row>
        <row r="49">
          <cell r="B49" t="str">
            <v>Importes procedentes de la emisión de acciones</v>
          </cell>
          <cell r="D49">
            <v>0</v>
          </cell>
          <cell r="E49">
            <v>0</v>
          </cell>
        </row>
        <row r="50">
          <cell r="B50" t="str">
            <v>Importes procedentes de la emisión de otros instrumentos de patrimonio</v>
          </cell>
          <cell r="D50">
            <v>0</v>
          </cell>
          <cell r="E50">
            <v>0</v>
          </cell>
        </row>
        <row r="51">
          <cell r="B51" t="str">
            <v>Pagos por adquirir o rescatar las acciones de la entidad</v>
          </cell>
          <cell r="D51">
            <v>0</v>
          </cell>
          <cell r="E51">
            <v>0</v>
          </cell>
        </row>
        <row r="52">
          <cell r="B52" t="str">
            <v>Pagos por otras participaciones en el patrimonio</v>
          </cell>
          <cell r="D52">
            <v>0</v>
          </cell>
          <cell r="E52">
            <v>0</v>
          </cell>
        </row>
        <row r="53">
          <cell r="B53" t="str">
            <v>Importes procedentes de préstamos de largo plazo</v>
          </cell>
          <cell r="D53">
            <v>163583437</v>
          </cell>
          <cell r="E53">
            <v>2771336</v>
          </cell>
        </row>
        <row r="54">
          <cell r="B54" t="str">
            <v>Importes procedentes de préstamos de corto plazo</v>
          </cell>
          <cell r="D54">
            <v>0</v>
          </cell>
          <cell r="E54">
            <v>0</v>
          </cell>
        </row>
        <row r="55">
          <cell r="B55" t="str">
            <v>Importes procedentes de préstamos, clasificados como actividades de financiación</v>
          </cell>
          <cell r="D55">
            <v>163583437</v>
          </cell>
          <cell r="E55">
            <v>2771336</v>
          </cell>
        </row>
        <row r="56">
          <cell r="B56" t="str">
            <v>Préstamos de entidades relacionadas</v>
          </cell>
          <cell r="D56">
            <v>0</v>
          </cell>
          <cell r="E56">
            <v>0</v>
          </cell>
        </row>
        <row r="57">
          <cell r="B57" t="str">
            <v>Reembolsos de préstamos</v>
          </cell>
          <cell r="D57">
            <v>-75429259</v>
          </cell>
          <cell r="E57">
            <v>-16127161</v>
          </cell>
        </row>
        <row r="58">
          <cell r="B58" t="str">
            <v>Pagos de pasivos por arrendamientos financieros</v>
          </cell>
          <cell r="D58">
            <v>0</v>
          </cell>
          <cell r="E58">
            <v>0</v>
          </cell>
        </row>
        <row r="59">
          <cell r="B59" t="str">
            <v>Pagos de préstamos a entidades relacionadas</v>
          </cell>
          <cell r="D59">
            <v>0</v>
          </cell>
          <cell r="E59">
            <v>0</v>
          </cell>
        </row>
        <row r="60">
          <cell r="B60" t="str">
            <v>Importes procedentes de subvenciones del gobierno</v>
          </cell>
          <cell r="D60">
            <v>0</v>
          </cell>
          <cell r="E60">
            <v>0</v>
          </cell>
        </row>
        <row r="61">
          <cell r="B61" t="str">
            <v>Dividendos pagados</v>
          </cell>
          <cell r="D61">
            <v>-38537073</v>
          </cell>
          <cell r="E61">
            <v>-1550895</v>
          </cell>
        </row>
        <row r="62">
          <cell r="B62" t="str">
            <v>Intereses pagados</v>
          </cell>
          <cell r="D62">
            <v>-7417756</v>
          </cell>
          <cell r="E62">
            <v>-7785475</v>
          </cell>
        </row>
        <row r="63">
          <cell r="B63" t="str">
            <v>Impuestos a las ganancias reembolsados (pagados)</v>
          </cell>
          <cell r="D63">
            <v>0</v>
          </cell>
          <cell r="E63">
            <v>0</v>
          </cell>
        </row>
        <row r="64">
          <cell r="B64" t="str">
            <v>Otras entradas (salidas) de efectivo</v>
          </cell>
          <cell r="D64">
            <v>-1223277</v>
          </cell>
          <cell r="E64">
            <v>0</v>
          </cell>
        </row>
        <row r="65">
          <cell r="B65" t="str">
            <v xml:space="preserve"> Flujos de efectivo procedentes de (utilizados en) actividades de financiación</v>
          </cell>
          <cell r="D65">
            <v>40976072</v>
          </cell>
          <cell r="E65">
            <v>-22692195</v>
          </cell>
        </row>
        <row r="66">
          <cell r="B66" t="str">
            <v xml:space="preserve"> Incremento (disminución) en el efectivo y equivalentes al efectivo, antes del efecto de los cambios en la tasa de cambio </v>
          </cell>
          <cell r="D66">
            <v>73237832</v>
          </cell>
          <cell r="E66">
            <v>-15713314</v>
          </cell>
        </row>
        <row r="67">
          <cell r="B67" t="str">
            <v>Efectos de la variación en la tasa de cambio sobre el efectivo y equivalentes al efectivo</v>
          </cell>
          <cell r="D67">
            <v>0</v>
          </cell>
          <cell r="E67">
            <v>0</v>
          </cell>
        </row>
        <row r="68">
          <cell r="B68" t="str">
            <v>Efectos de la variación en la tasa de cambio sobre el efectivo y equivalentes al efectivo</v>
          </cell>
          <cell r="D68">
            <v>0</v>
          </cell>
          <cell r="E68">
            <v>0</v>
          </cell>
        </row>
        <row r="69">
          <cell r="B69" t="str">
            <v>Incremento (disminución) neto de efectivo y equivalentes al efectivo</v>
          </cell>
          <cell r="D69">
            <v>73237832</v>
          </cell>
          <cell r="E69">
            <v>-15713314</v>
          </cell>
        </row>
        <row r="70">
          <cell r="B70" t="str">
            <v>Efectivo y equivalentes al efectivo al principio del periodo</v>
          </cell>
          <cell r="D70">
            <v>108758431</v>
          </cell>
          <cell r="E70">
            <v>109156681</v>
          </cell>
        </row>
        <row r="71">
          <cell r="B71" t="str">
            <v>Efectivo y equivalentes al efectivo al final del periodo</v>
          </cell>
          <cell r="C71">
            <v>4</v>
          </cell>
          <cell r="D71">
            <v>181996263</v>
          </cell>
          <cell r="E71">
            <v>93443367</v>
          </cell>
        </row>
        <row r="73">
          <cell r="D73">
            <v>0</v>
          </cell>
        </row>
        <row r="76">
          <cell r="B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5">
        <row r="6">
          <cell r="C6">
            <v>186685609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00B050"/>
  </sheetPr>
  <dimension ref="B2:I26"/>
  <sheetViews>
    <sheetView showGridLines="0" workbookViewId="0">
      <selection activeCell="C4" sqref="C4"/>
    </sheetView>
  </sheetViews>
  <sheetFormatPr baseColWidth="10" defaultColWidth="11.44140625" defaultRowHeight="12"/>
  <cols>
    <col min="1" max="1" width="11.44140625" style="116"/>
    <col min="2" max="2" width="45.5546875" style="116" bestFit="1" customWidth="1"/>
    <col min="3" max="3" width="14.44140625" style="317" bestFit="1" customWidth="1"/>
    <col min="4" max="4" width="14.44140625" style="116" bestFit="1" customWidth="1"/>
    <col min="5" max="5" width="13.44140625" style="116" bestFit="1" customWidth="1"/>
    <col min="6" max="6" width="13.6640625" style="116" bestFit="1" customWidth="1"/>
    <col min="7" max="16384" width="11.44140625" style="116"/>
  </cols>
  <sheetData>
    <row r="2" spans="2:9">
      <c r="B2" s="115" t="s">
        <v>103</v>
      </c>
      <c r="C2" s="314" t="s">
        <v>8</v>
      </c>
      <c r="F2" s="315"/>
      <c r="G2" s="316"/>
      <c r="H2" s="316"/>
      <c r="I2" s="315"/>
    </row>
    <row r="3" spans="2:9">
      <c r="B3" s="116" t="s">
        <v>371</v>
      </c>
      <c r="C3" s="317">
        <f>+Cálculos!E70</f>
        <v>124339646</v>
      </c>
      <c r="F3" s="315"/>
      <c r="G3" s="315"/>
      <c r="H3" s="315"/>
      <c r="I3" s="315"/>
    </row>
    <row r="4" spans="2:9">
      <c r="B4" s="116" t="s">
        <v>375</v>
      </c>
      <c r="C4" s="317">
        <f>-Cálculos!D70</f>
        <v>-54909068</v>
      </c>
    </row>
    <row r="5" spans="2:9">
      <c r="B5" s="140" t="s">
        <v>376</v>
      </c>
      <c r="C5" s="318">
        <f>+Cálculos!C70</f>
        <v>50921120</v>
      </c>
      <c r="G5" s="298"/>
      <c r="H5" s="298"/>
      <c r="I5" s="299"/>
    </row>
    <row r="6" spans="2:9">
      <c r="B6" s="115" t="s">
        <v>377</v>
      </c>
      <c r="C6" s="319">
        <f>SUM(C3:C5)</f>
        <v>120351698</v>
      </c>
      <c r="G6" s="298"/>
      <c r="H6" s="298"/>
    </row>
    <row r="8" spans="2:9">
      <c r="B8" s="320" t="s">
        <v>104</v>
      </c>
    </row>
    <row r="9" spans="2:9">
      <c r="B9" s="115" t="s">
        <v>21</v>
      </c>
      <c r="C9" s="314" t="s">
        <v>8</v>
      </c>
    </row>
    <row r="10" spans="2:9">
      <c r="B10" s="116" t="s">
        <v>371</v>
      </c>
      <c r="C10" s="317">
        <f>+Cálculos!F20-Cálculos!F21</f>
        <v>207982769</v>
      </c>
    </row>
    <row r="11" spans="2:9">
      <c r="B11" s="116" t="s">
        <v>375</v>
      </c>
      <c r="C11" s="317">
        <f>-(Cálculos!E20-Cálculos!E219)</f>
        <v>-72434575</v>
      </c>
    </row>
    <row r="12" spans="2:9">
      <c r="B12" s="140" t="s">
        <v>376</v>
      </c>
      <c r="C12" s="318">
        <f>+Cálculos!D20-Cálculos!D21</f>
        <v>77510308</v>
      </c>
    </row>
    <row r="13" spans="2:9">
      <c r="B13" s="115" t="str">
        <f>+B6</f>
        <v>Periodo mar 2024 - mar 2023</v>
      </c>
      <c r="C13" s="319">
        <f>SUM(C10:C12)</f>
        <v>213058502</v>
      </c>
    </row>
    <row r="16" spans="2:9">
      <c r="B16" s="115" t="s">
        <v>23</v>
      </c>
      <c r="C16" s="314" t="s">
        <v>8</v>
      </c>
    </row>
    <row r="17" spans="2:5">
      <c r="B17" s="116" t="s">
        <v>371</v>
      </c>
      <c r="C17" s="317">
        <f>-Cálculos!F21</f>
        <v>49334397</v>
      </c>
    </row>
    <row r="18" spans="2:5">
      <c r="B18" s="116" t="s">
        <v>375</v>
      </c>
      <c r="C18" s="317">
        <f>Cálculos!E21</f>
        <v>-11555871</v>
      </c>
    </row>
    <row r="19" spans="2:5">
      <c r="B19" s="140" t="s">
        <v>376</v>
      </c>
      <c r="C19" s="318">
        <f>-Cálculos!D21</f>
        <v>14125412</v>
      </c>
    </row>
    <row r="20" spans="2:5">
      <c r="B20" s="115" t="str">
        <f>+B13</f>
        <v>Periodo mar 2024 - mar 2023</v>
      </c>
      <c r="C20" s="319">
        <f>SUM(C17:C19)</f>
        <v>51903938</v>
      </c>
    </row>
    <row r="24" spans="2:5">
      <c r="C24" s="321"/>
      <c r="D24" s="322"/>
      <c r="E24" s="323"/>
    </row>
    <row r="25" spans="2:5">
      <c r="C25" s="324"/>
      <c r="D25" s="324"/>
      <c r="E25" s="324"/>
    </row>
    <row r="26" spans="2:5">
      <c r="C26" s="324"/>
      <c r="D26" s="324"/>
      <c r="E26" s="324"/>
    </row>
  </sheetData>
  <phoneticPr fontId="111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rgb="FF92D050"/>
    <pageSetUpPr fitToPage="1"/>
  </sheetPr>
  <dimension ref="A1:O32"/>
  <sheetViews>
    <sheetView showGridLines="0" zoomScale="90" zoomScaleNormal="90" workbookViewId="0">
      <selection activeCell="D27" sqref="D27:E27"/>
    </sheetView>
  </sheetViews>
  <sheetFormatPr baseColWidth="10" defaultColWidth="11.44140625" defaultRowHeight="13.8"/>
  <cols>
    <col min="1" max="1" width="7.5546875" style="90" customWidth="1"/>
    <col min="2" max="2" width="117" style="90" bestFit="1" customWidth="1"/>
    <col min="3" max="3" width="7.5546875" style="90" customWidth="1"/>
    <col min="4" max="4" width="12.44140625" style="90" bestFit="1" customWidth="1"/>
    <col min="5" max="5" width="13.6640625" style="90" customWidth="1"/>
    <col min="6" max="7" width="11.44140625" style="90" hidden="1" customWidth="1"/>
    <col min="8" max="8" width="5" style="90" customWidth="1"/>
    <col min="9" max="9" width="11.44140625" style="266"/>
    <col min="10" max="11" width="12.5546875" style="267" customWidth="1"/>
    <col min="12" max="12" width="0" style="266" hidden="1" customWidth="1"/>
    <col min="13" max="13" width="12.5546875" style="267" hidden="1" customWidth="1"/>
    <col min="14" max="16384" width="11.44140625" style="90"/>
  </cols>
  <sheetData>
    <row r="1" spans="1:15">
      <c r="C1" s="106"/>
    </row>
    <row r="2" spans="1:15" ht="14.4" thickBot="1">
      <c r="C2" s="106"/>
      <c r="I2" s="458" t="s">
        <v>235</v>
      </c>
      <c r="J2" s="458"/>
      <c r="K2" s="302"/>
      <c r="L2" s="458" t="s">
        <v>236</v>
      </c>
      <c r="M2" s="458"/>
    </row>
    <row r="3" spans="1:15" s="82" customFormat="1" ht="26.4">
      <c r="A3" s="107"/>
      <c r="B3" s="452" t="s">
        <v>278</v>
      </c>
      <c r="C3" s="454" t="s">
        <v>106</v>
      </c>
      <c r="D3" s="332">
        <v>45565</v>
      </c>
      <c r="E3" s="332">
        <v>45199</v>
      </c>
      <c r="F3" s="373" t="s">
        <v>342</v>
      </c>
      <c r="G3" s="373" t="s">
        <v>343</v>
      </c>
      <c r="I3" s="456" t="s">
        <v>234</v>
      </c>
      <c r="J3" s="457"/>
      <c r="K3" s="303"/>
      <c r="L3" s="456" t="s">
        <v>234</v>
      </c>
      <c r="M3" s="457"/>
    </row>
    <row r="4" spans="1:15" s="82" customFormat="1" ht="16.5" customHeight="1">
      <c r="B4" s="453"/>
      <c r="C4" s="455"/>
      <c r="D4" s="52" t="s">
        <v>8</v>
      </c>
      <c r="E4" s="52" t="s">
        <v>8</v>
      </c>
      <c r="F4" s="374" t="s">
        <v>8</v>
      </c>
      <c r="G4" s="381" t="s">
        <v>8</v>
      </c>
      <c r="I4" s="269" t="s">
        <v>8</v>
      </c>
      <c r="J4" s="270" t="s">
        <v>70</v>
      </c>
      <c r="K4" s="304"/>
      <c r="L4" s="269" t="s">
        <v>8</v>
      </c>
      <c r="M4" s="270"/>
    </row>
    <row r="5" spans="1:15" s="82" customFormat="1" ht="21" customHeight="1">
      <c r="B5" s="64" t="s">
        <v>279</v>
      </c>
      <c r="C5" s="56">
        <v>25</v>
      </c>
      <c r="D5" s="54">
        <f>[3]Resultado!D4</f>
        <v>197436623</v>
      </c>
      <c r="E5" s="54">
        <f>[3]Resultado!E4</f>
        <v>189140192</v>
      </c>
      <c r="F5" s="54">
        <f>+VLOOKUP(B5,[3]Resultado!$B:$G,5,0)</f>
        <v>0</v>
      </c>
      <c r="G5" s="54">
        <f>+VLOOKUP(B5,[3]Resultado!$B:$G,6,0)</f>
        <v>8296431</v>
      </c>
      <c r="H5" s="81"/>
      <c r="I5" s="250">
        <f t="shared" ref="I5:I11" si="0">+ROUND((D5-E5),0)</f>
        <v>8296431</v>
      </c>
      <c r="J5" s="274">
        <f t="shared" ref="J5:J11" si="1">IFERROR(I5/E5,1)</f>
        <v>4.3863923961756368E-2</v>
      </c>
      <c r="K5" s="305"/>
      <c r="L5" s="250" t="e">
        <f>+ROUND((#REF!-#REF!),0)</f>
        <v>#REF!</v>
      </c>
      <c r="M5" s="274">
        <f>IFERROR(L5/#REF!,1)</f>
        <v>1</v>
      </c>
      <c r="N5" s="18"/>
      <c r="O5" s="81"/>
    </row>
    <row r="6" spans="1:15" s="82" customFormat="1" ht="21" customHeight="1">
      <c r="B6" s="64" t="s">
        <v>100</v>
      </c>
      <c r="C6" s="56"/>
      <c r="D6" s="54">
        <f>[3]Resultado!D5</f>
        <v>-22602691</v>
      </c>
      <c r="E6" s="54">
        <f>[3]Resultado!E5</f>
        <v>-21680487</v>
      </c>
      <c r="F6" s="54">
        <f>+VLOOKUP(B6,[3]Resultado!$B:$G,5,0)</f>
        <v>0</v>
      </c>
      <c r="G6" s="54">
        <f>+VLOOKUP(B6,[3]Resultado!$B:$G,6,0)</f>
        <v>-922204</v>
      </c>
      <c r="H6" s="81"/>
      <c r="I6" s="250">
        <f t="shared" si="0"/>
        <v>-922204</v>
      </c>
      <c r="J6" s="274">
        <f t="shared" si="1"/>
        <v>4.2536129377536584E-2</v>
      </c>
      <c r="K6" s="305"/>
      <c r="L6" s="250" t="e">
        <f>+ROUND((#REF!-#REF!),0)</f>
        <v>#REF!</v>
      </c>
      <c r="M6" s="274">
        <f>IFERROR(L6/#REF!,1)</f>
        <v>1</v>
      </c>
      <c r="N6" s="18"/>
      <c r="O6" s="18">
        <v>10052956</v>
      </c>
    </row>
    <row r="7" spans="1:15" s="82" customFormat="1" ht="21" customHeight="1">
      <c r="B7" s="64" t="s">
        <v>91</v>
      </c>
      <c r="C7" s="56">
        <v>20</v>
      </c>
      <c r="D7" s="54">
        <f>[3]Resultado!D6</f>
        <v>-19862094</v>
      </c>
      <c r="E7" s="54">
        <f>[3]Resultado!E6</f>
        <v>-18746545</v>
      </c>
      <c r="F7" s="54">
        <f>+VLOOKUP(B7,[3]Resultado!$B:$G,5,0)</f>
        <v>0</v>
      </c>
      <c r="G7" s="54">
        <f>+VLOOKUP(B7,[3]Resultado!$B:$G,6,0)</f>
        <v>-1115549</v>
      </c>
      <c r="H7" s="81"/>
      <c r="I7" s="250">
        <f t="shared" si="0"/>
        <v>-1115549</v>
      </c>
      <c r="J7" s="274">
        <f t="shared" si="1"/>
        <v>5.9506911806948962E-2</v>
      </c>
      <c r="K7" s="305"/>
      <c r="L7" s="250" t="e">
        <f>+ROUND((#REF!-#REF!),0)</f>
        <v>#REF!</v>
      </c>
      <c r="M7" s="274">
        <f>IFERROR(L7/#REF!,1)</f>
        <v>1</v>
      </c>
      <c r="N7" s="18"/>
      <c r="O7" s="18">
        <v>-49334397</v>
      </c>
    </row>
    <row r="8" spans="1:15" s="82" customFormat="1" ht="21" customHeight="1">
      <c r="B8" s="64" t="s">
        <v>311</v>
      </c>
      <c r="C8" s="56" t="s">
        <v>334</v>
      </c>
      <c r="D8" s="54">
        <f>[3]Resultado!D7</f>
        <v>-20703954</v>
      </c>
      <c r="E8" s="54">
        <f>[3]Resultado!E7</f>
        <v>-19972547</v>
      </c>
      <c r="F8" s="54">
        <f>+VLOOKUP(B8,[3]Resultado!$B:$G,5,0)</f>
        <v>0</v>
      </c>
      <c r="G8" s="54">
        <f>+VLOOKUP(B8,[3]Resultado!$B:$G,6,0)</f>
        <v>-731407</v>
      </c>
      <c r="H8" s="81"/>
      <c r="I8" s="250">
        <f t="shared" si="0"/>
        <v>-731407</v>
      </c>
      <c r="J8" s="274">
        <f t="shared" si="1"/>
        <v>3.6620617290323565E-2</v>
      </c>
      <c r="K8" s="305"/>
      <c r="L8" s="250" t="e">
        <f>+ROUND((#REF!-#REF!),0)</f>
        <v>#REF!</v>
      </c>
      <c r="M8" s="274">
        <f>IFERROR(L8/#REF!,1)</f>
        <v>1</v>
      </c>
      <c r="N8" s="18"/>
      <c r="O8" s="18">
        <v>349033</v>
      </c>
    </row>
    <row r="9" spans="1:15" s="82" customFormat="1" ht="21" customHeight="1">
      <c r="B9" s="66" t="s">
        <v>312</v>
      </c>
      <c r="C9" s="65" t="s">
        <v>335</v>
      </c>
      <c r="D9" s="54">
        <f>[3]Resultado!D14</f>
        <v>-2667391</v>
      </c>
      <c r="E9" s="54">
        <f>[3]Resultado!E14</f>
        <v>-4025436</v>
      </c>
      <c r="F9" s="54">
        <f>+VLOOKUP(B9,[3]Resultado!$B:$G,5,0)</f>
        <v>0</v>
      </c>
      <c r="G9" s="54">
        <f>+VLOOKUP(B9,[3]Resultado!$B:$G,6,0)</f>
        <v>1358045</v>
      </c>
      <c r="H9" s="81"/>
      <c r="I9" s="250">
        <f t="shared" si="0"/>
        <v>1358045</v>
      </c>
      <c r="J9" s="274">
        <f t="shared" si="1"/>
        <v>-0.33736593998761871</v>
      </c>
      <c r="K9" s="305"/>
      <c r="L9" s="250" t="e">
        <f>+ROUND((#REF!-#REF!),0)</f>
        <v>#REF!</v>
      </c>
      <c r="M9" s="274">
        <f>IFERROR(L9/#REF!,1)</f>
        <v>1</v>
      </c>
      <c r="N9" s="25"/>
      <c r="O9" s="18">
        <v>-45945172</v>
      </c>
    </row>
    <row r="10" spans="1:15" s="82" customFormat="1" ht="21" customHeight="1">
      <c r="B10" s="64" t="s">
        <v>93</v>
      </c>
      <c r="C10" s="56">
        <v>26</v>
      </c>
      <c r="D10" s="54">
        <f>[3]Resultado!D9</f>
        <v>-40772822</v>
      </c>
      <c r="E10" s="54">
        <f>[3]Resultado!E9</f>
        <v>-37534389</v>
      </c>
      <c r="F10" s="54">
        <f>+VLOOKUP(B10,[3]Resultado!$B:$G,5,0)</f>
        <v>0</v>
      </c>
      <c r="G10" s="54">
        <f>+VLOOKUP(B10,[3]Resultado!$B:$G,6,0)</f>
        <v>-3238433</v>
      </c>
      <c r="H10" s="81"/>
      <c r="I10" s="250">
        <f t="shared" si="0"/>
        <v>-3238433</v>
      </c>
      <c r="J10" s="274">
        <f t="shared" si="1"/>
        <v>8.6279091954847065E-2</v>
      </c>
      <c r="K10" s="305"/>
      <c r="L10" s="250" t="e">
        <f>+ROUND((#REF!-#REF!),0)</f>
        <v>#REF!</v>
      </c>
      <c r="M10" s="274">
        <f>IFERROR(L10/#REF!,1)</f>
        <v>1</v>
      </c>
      <c r="N10" s="18"/>
      <c r="O10" s="25">
        <v>-84877579</v>
      </c>
    </row>
    <row r="11" spans="1:15" s="82" customFormat="1" ht="21" customHeight="1">
      <c r="B11" s="64" t="s">
        <v>271</v>
      </c>
      <c r="C11" s="56">
        <v>27</v>
      </c>
      <c r="D11" s="54">
        <f>[3]Resultado!D10</f>
        <v>-564157</v>
      </c>
      <c r="E11" s="54">
        <f>[3]Resultado!E10</f>
        <v>3150580</v>
      </c>
      <c r="F11" s="54">
        <f>+VLOOKUP(B11,[3]Resultado!$B:$G,5,0)</f>
        <v>0</v>
      </c>
      <c r="G11" s="54">
        <f>+VLOOKUP(B11,[3]Resultado!$B:$G,6,0)</f>
        <v>-3714737</v>
      </c>
      <c r="H11" s="81"/>
      <c r="I11" s="250">
        <f t="shared" si="0"/>
        <v>-3714737</v>
      </c>
      <c r="J11" s="274">
        <f t="shared" si="1"/>
        <v>-1.1790644897130051</v>
      </c>
      <c r="K11" s="305"/>
      <c r="L11" s="250" t="e">
        <f>+ROUND((#REF!-#REF!),0)</f>
        <v>#REF!</v>
      </c>
      <c r="M11" s="274">
        <f>IFERROR(L11/#REF!,1)</f>
        <v>1</v>
      </c>
      <c r="N11" s="25"/>
      <c r="O11" s="18">
        <v>310125</v>
      </c>
    </row>
    <row r="12" spans="1:15" s="82" customFormat="1" ht="21" customHeight="1">
      <c r="B12" s="285" t="s">
        <v>288</v>
      </c>
      <c r="C12" s="286"/>
      <c r="D12" s="286">
        <f>+SUM(D5:D11)</f>
        <v>90263514</v>
      </c>
      <c r="E12" s="286">
        <f>+SUM(E5:E11)</f>
        <v>90331368</v>
      </c>
      <c r="F12" s="286">
        <f>+SUM(F5:F11)</f>
        <v>0</v>
      </c>
      <c r="G12" s="286">
        <f>+SUM(G5:G11)</f>
        <v>-67854</v>
      </c>
      <c r="H12" s="81"/>
      <c r="I12" s="250"/>
      <c r="J12" s="274"/>
      <c r="K12" s="305"/>
      <c r="L12" s="250"/>
      <c r="M12" s="274"/>
      <c r="O12" s="18">
        <v>-34306718</v>
      </c>
    </row>
    <row r="13" spans="1:15" s="82" customFormat="1" ht="21" customHeight="1">
      <c r="B13" s="64" t="s">
        <v>97</v>
      </c>
      <c r="C13" s="56">
        <v>27</v>
      </c>
      <c r="D13" s="54">
        <f>[3]Resultado!D12</f>
        <v>3274803</v>
      </c>
      <c r="E13" s="54">
        <f>[3]Resultado!E12</f>
        <v>2018035</v>
      </c>
      <c r="F13" s="54">
        <f>+VLOOKUP(B13,[3]Resultado!$B:$G,5,0)</f>
        <v>0</v>
      </c>
      <c r="G13" s="54">
        <f>+VLOOKUP(B13,[3]Resultado!$B:$G,6,0)</f>
        <v>1256768</v>
      </c>
      <c r="H13" s="81"/>
      <c r="I13" s="250">
        <f>+ROUND((D13-E13),0)</f>
        <v>1256768</v>
      </c>
      <c r="J13" s="274">
        <f>IFERROR(I13/E13,1)</f>
        <v>0.62276818786591903</v>
      </c>
      <c r="K13" s="305"/>
      <c r="L13" s="250" t="e">
        <f>+ROUND((#REF!-#REF!),0)</f>
        <v>#REF!</v>
      </c>
      <c r="M13" s="274">
        <f>IFERROR(L13/#REF!,1)</f>
        <v>1</v>
      </c>
    </row>
    <row r="14" spans="1:15" s="82" customFormat="1" ht="21" customHeight="1">
      <c r="B14" s="64" t="s">
        <v>313</v>
      </c>
      <c r="C14" s="56">
        <v>27</v>
      </c>
      <c r="D14" s="54">
        <f>[3]Resultado!D13</f>
        <v>-14125412</v>
      </c>
      <c r="E14" s="54">
        <f>[3]Resultado!E13</f>
        <v>-11555871</v>
      </c>
      <c r="F14" s="54">
        <f>+VLOOKUP(B14,[3]Resultado!$B:$G,5,0)</f>
        <v>0</v>
      </c>
      <c r="G14" s="54">
        <f>+VLOOKUP(B14,[3]Resultado!$B:$G,6,0)</f>
        <v>-2569541</v>
      </c>
      <c r="H14" s="81"/>
      <c r="I14" s="250">
        <f>+ROUND((D14-E14),0)</f>
        <v>-2569541</v>
      </c>
      <c r="J14" s="274">
        <f>IFERROR(I14/E14,1)</f>
        <v>0.2223580550527087</v>
      </c>
      <c r="K14" s="305"/>
      <c r="L14" s="250" t="e">
        <f>+ROUND((#REF!-#REF!),0)</f>
        <v>#REF!</v>
      </c>
      <c r="M14" s="274">
        <f>IFERROR(L14/#REF!,1)</f>
        <v>1</v>
      </c>
    </row>
    <row r="15" spans="1:15" s="82" customFormat="1" ht="21" customHeight="1">
      <c r="B15" s="428" t="s">
        <v>357</v>
      </c>
      <c r="C15" s="429"/>
      <c r="D15" s="430">
        <f>[3]Resultado!D8</f>
        <v>0</v>
      </c>
      <c r="E15" s="430">
        <f>[3]Resultado!E8</f>
        <v>0</v>
      </c>
      <c r="F15" s="54"/>
      <c r="G15" s="54"/>
      <c r="H15" s="81"/>
      <c r="I15" s="250"/>
      <c r="J15" s="274"/>
      <c r="K15" s="305"/>
      <c r="L15" s="250"/>
      <c r="M15" s="274"/>
    </row>
    <row r="16" spans="1:15" s="82" customFormat="1" ht="21" customHeight="1">
      <c r="B16" s="64" t="s">
        <v>289</v>
      </c>
      <c r="C16" s="56">
        <v>28</v>
      </c>
      <c r="D16" s="54">
        <f>[3]Resultado!D15</f>
        <v>-63524</v>
      </c>
      <c r="E16" s="54">
        <f>[3]Resultado!E15</f>
        <v>-12300</v>
      </c>
      <c r="F16" s="54">
        <f>+VLOOKUP(B16,[3]Resultado!$B:$G,5,0)</f>
        <v>0</v>
      </c>
      <c r="G16" s="54">
        <f>+VLOOKUP(B16,[3]Resultado!$B:$G,6,0)</f>
        <v>-51224</v>
      </c>
      <c r="H16" s="81"/>
      <c r="I16" s="250">
        <f>+ROUND((D16-E16),0)</f>
        <v>-51224</v>
      </c>
      <c r="J16" s="274">
        <f>IFERROR(I16/E16,1)</f>
        <v>4.1645528455284557</v>
      </c>
      <c r="K16" s="305"/>
      <c r="L16" s="250" t="e">
        <f>+ROUND((#REF!-#REF!),0)</f>
        <v>#REF!</v>
      </c>
      <c r="M16" s="274">
        <f>IFERROR(L16/#REF!,1)</f>
        <v>1</v>
      </c>
    </row>
    <row r="17" spans="2:13" s="82" customFormat="1" ht="21" customHeight="1">
      <c r="B17" s="64" t="s">
        <v>314</v>
      </c>
      <c r="C17" s="56">
        <v>29</v>
      </c>
      <c r="D17" s="54">
        <f>[3]Resultado!D16</f>
        <v>-15964485</v>
      </c>
      <c r="E17" s="54">
        <f>[3]Resultado!E16</f>
        <v>-8346657</v>
      </c>
      <c r="F17" s="54">
        <f>+VLOOKUP(B17,[3]Resultado!$B:$G,5,0)</f>
        <v>0</v>
      </c>
      <c r="G17" s="54">
        <f>+VLOOKUP(B17,[3]Resultado!$B:$G,6,0)</f>
        <v>-7617828</v>
      </c>
      <c r="H17" s="81"/>
      <c r="I17" s="250">
        <f>+ROUND((D17-E17),0)</f>
        <v>-7617828</v>
      </c>
      <c r="J17" s="274">
        <f>IFERROR(I17/E17,1)</f>
        <v>0.91268013050015118</v>
      </c>
      <c r="K17" s="305"/>
      <c r="L17" s="250" t="e">
        <f>+ROUND((#REF!-#REF!),0)</f>
        <v>#REF!</v>
      </c>
      <c r="M17" s="274">
        <f>IFERROR(L17/#REF!,1)</f>
        <v>1</v>
      </c>
    </row>
    <row r="18" spans="2:13" s="82" customFormat="1" ht="21" customHeight="1" thickBot="1">
      <c r="B18" s="64" t="s">
        <v>292</v>
      </c>
      <c r="C18" s="56"/>
      <c r="D18" s="54"/>
      <c r="E18" s="54"/>
      <c r="F18" s="375"/>
      <c r="G18" s="55"/>
      <c r="H18" s="81"/>
      <c r="I18" s="250"/>
      <c r="J18" s="274"/>
      <c r="K18" s="305"/>
      <c r="L18" s="250"/>
      <c r="M18" s="274"/>
    </row>
    <row r="19" spans="2:13" s="82" customFormat="1" ht="21" customHeight="1" thickBot="1">
      <c r="B19" s="68" t="s">
        <v>248</v>
      </c>
      <c r="C19" s="69"/>
      <c r="D19" s="70">
        <f>SUM(D12:D17)</f>
        <v>63384896</v>
      </c>
      <c r="E19" s="70">
        <f>SUM(E12:E17)</f>
        <v>72434575</v>
      </c>
      <c r="F19" s="376">
        <f t="shared" ref="F19:G19" si="2">SUM(F12:F17)</f>
        <v>0</v>
      </c>
      <c r="G19" s="382">
        <f t="shared" si="2"/>
        <v>-9049679</v>
      </c>
      <c r="H19" s="81"/>
      <c r="I19" s="272">
        <f>+ROUND((D19-E19),0)</f>
        <v>-9049679</v>
      </c>
      <c r="J19" s="277">
        <f>IFERROR(I19/E19,1)</f>
        <v>-0.12493590250236161</v>
      </c>
      <c r="K19" s="306"/>
      <c r="L19" s="272" t="e">
        <f>+ROUND((#REF!-#REF!),0)</f>
        <v>#REF!</v>
      </c>
      <c r="M19" s="277">
        <f>IFERROR(L19/#REF!,1)</f>
        <v>1</v>
      </c>
    </row>
    <row r="20" spans="2:13" s="82" customFormat="1" ht="21" customHeight="1" thickBot="1">
      <c r="B20" s="64" t="s">
        <v>315</v>
      </c>
      <c r="C20" s="56">
        <v>16</v>
      </c>
      <c r="D20" s="54">
        <f>[3]Resultado!D19</f>
        <v>-12462821</v>
      </c>
      <c r="E20" s="54">
        <f>[3]Resultado!E19</f>
        <v>-17524580</v>
      </c>
      <c r="F20" s="54">
        <f>+VLOOKUP(B20,[3]Resultado!$B:$G,5,0)</f>
        <v>0</v>
      </c>
      <c r="G20" s="54">
        <f>+VLOOKUP(B20,[3]Resultado!$B:$G,6,0)</f>
        <v>5061759</v>
      </c>
      <c r="H20" s="81"/>
      <c r="I20" s="250">
        <f>+ROUND((D20-E20),0)</f>
        <v>5061759</v>
      </c>
      <c r="J20" s="274">
        <f>IFERROR(I20/E20,1)</f>
        <v>-0.28883767827816703</v>
      </c>
      <c r="K20" s="305"/>
      <c r="L20" s="250" t="e">
        <f>+ROUND((#REF!-#REF!),0)</f>
        <v>#REF!</v>
      </c>
      <c r="M20" s="274">
        <f>IFERROR(L20/#REF!,1)</f>
        <v>1</v>
      </c>
    </row>
    <row r="21" spans="2:13" s="82" customFormat="1" ht="21" customHeight="1" thickBot="1">
      <c r="B21" s="68" t="s">
        <v>249</v>
      </c>
      <c r="C21" s="71"/>
      <c r="D21" s="70">
        <f>+D19+D20</f>
        <v>50922075</v>
      </c>
      <c r="E21" s="70">
        <f>+E19+E20</f>
        <v>54909995</v>
      </c>
      <c r="F21" s="376">
        <f t="shared" ref="F21:G21" si="3">+F19+F20</f>
        <v>0</v>
      </c>
      <c r="G21" s="382">
        <f t="shared" si="3"/>
        <v>-3987920</v>
      </c>
      <c r="H21" s="81"/>
      <c r="I21" s="272">
        <f>+ROUND((D21-E21),0)</f>
        <v>-3987920</v>
      </c>
      <c r="J21" s="277">
        <f>IFERROR(I21/E21,1)</f>
        <v>-7.2626486307274293E-2</v>
      </c>
      <c r="K21" s="306"/>
      <c r="L21" s="272" t="e">
        <f>+ROUND((#REF!-#REF!),0)</f>
        <v>#REF!</v>
      </c>
      <c r="M21" s="277">
        <f>IFERROR(L21/#REF!,1)</f>
        <v>1</v>
      </c>
    </row>
    <row r="22" spans="2:13" s="82" customFormat="1" ht="23.25" customHeight="1">
      <c r="B22" s="66" t="s">
        <v>293</v>
      </c>
      <c r="C22" s="72"/>
      <c r="D22" s="54">
        <v>0</v>
      </c>
      <c r="E22" s="54">
        <v>0</v>
      </c>
      <c r="F22" s="54">
        <v>0</v>
      </c>
      <c r="G22" s="54">
        <v>0</v>
      </c>
      <c r="H22" s="81"/>
      <c r="I22" s="250">
        <f>+ROUND((D22-E22),0)</f>
        <v>0</v>
      </c>
      <c r="J22" s="274">
        <f>IFERROR(I22/E22,1)</f>
        <v>1</v>
      </c>
      <c r="K22" s="305"/>
      <c r="L22" s="250" t="e">
        <f>+ROUND((#REF!-#REF!),0)</f>
        <v>#REF!</v>
      </c>
      <c r="M22" s="274">
        <f>IFERROR(L22/#REF!,1)</f>
        <v>1</v>
      </c>
    </row>
    <row r="23" spans="2:13" s="82" customFormat="1" ht="23.25" customHeight="1" thickBot="1">
      <c r="B23" s="66"/>
      <c r="C23" s="72"/>
      <c r="D23" s="54"/>
      <c r="E23" s="54"/>
      <c r="F23" s="375"/>
      <c r="G23" s="55"/>
      <c r="H23" s="81"/>
      <c r="I23" s="250"/>
      <c r="J23" s="274"/>
      <c r="K23" s="305"/>
      <c r="L23" s="250"/>
      <c r="M23" s="274"/>
    </row>
    <row r="24" spans="2:13" s="82" customFormat="1" ht="21" customHeight="1" thickBot="1">
      <c r="B24" s="68" t="s">
        <v>128</v>
      </c>
      <c r="C24" s="71"/>
      <c r="D24" s="70">
        <f>+D21+D22</f>
        <v>50922075</v>
      </c>
      <c r="E24" s="70">
        <f t="shared" ref="E24:G24" si="4">+E21+E22</f>
        <v>54909995</v>
      </c>
      <c r="F24" s="376">
        <f t="shared" si="4"/>
        <v>0</v>
      </c>
      <c r="G24" s="382">
        <f t="shared" si="4"/>
        <v>-3987920</v>
      </c>
      <c r="H24" s="81"/>
      <c r="I24" s="272">
        <f>+ROUND((D24-E24),0)</f>
        <v>-3987920</v>
      </c>
      <c r="J24" s="277">
        <f>IFERROR(I24/E24,1)</f>
        <v>-7.2626486307274293E-2</v>
      </c>
      <c r="K24" s="306"/>
      <c r="L24" s="272" t="e">
        <f>+ROUND((#REF!-#REF!),0)</f>
        <v>#REF!</v>
      </c>
      <c r="M24" s="277">
        <f>IFERROR(L24/#REF!,1)</f>
        <v>1</v>
      </c>
    </row>
    <row r="25" spans="2:13" s="82" customFormat="1" ht="21" customHeight="1" thickBot="1">
      <c r="B25" s="73" t="s">
        <v>250</v>
      </c>
      <c r="C25" s="74" t="s">
        <v>4</v>
      </c>
      <c r="D25" s="75"/>
      <c r="E25" s="67"/>
      <c r="F25" s="377"/>
      <c r="G25" s="383"/>
      <c r="H25" s="81"/>
      <c r="I25" s="250"/>
      <c r="J25" s="274"/>
      <c r="K25" s="305"/>
      <c r="L25" s="250"/>
      <c r="M25" s="274"/>
    </row>
    <row r="26" spans="2:13" s="82" customFormat="1" ht="21" customHeight="1" thickBot="1">
      <c r="B26" s="76" t="s">
        <v>103</v>
      </c>
      <c r="C26" s="71"/>
      <c r="D26" s="77">
        <f>+D24-D27</f>
        <v>50921120</v>
      </c>
      <c r="E26" s="77">
        <f>+E24-E27</f>
        <v>54909068</v>
      </c>
      <c r="F26" s="77" t="e">
        <f t="shared" ref="F26:G26" si="5">+F24-F27</f>
        <v>#N/A</v>
      </c>
      <c r="G26" s="77" t="e">
        <f t="shared" si="5"/>
        <v>#N/A</v>
      </c>
      <c r="H26" s="81"/>
      <c r="I26" s="272">
        <f>+ROUND((D26-E26),0)</f>
        <v>-3987948</v>
      </c>
      <c r="J26" s="277">
        <f>IFERROR(I26/E26,1)</f>
        <v>-7.2628222354821248E-2</v>
      </c>
      <c r="K26" s="306"/>
      <c r="L26" s="272" t="e">
        <f>+ROUND((#REF!-#REF!),0)</f>
        <v>#REF!</v>
      </c>
      <c r="M26" s="277">
        <f>IFERROR(L26/#REF!,1)</f>
        <v>1</v>
      </c>
    </row>
    <row r="27" spans="2:13" s="82" customFormat="1" ht="21" customHeight="1" thickBot="1">
      <c r="B27" s="66" t="s">
        <v>333</v>
      </c>
      <c r="C27" s="56">
        <v>23</v>
      </c>
      <c r="D27" s="54">
        <f>[3]Resultado!D26</f>
        <v>955</v>
      </c>
      <c r="E27" s="54">
        <f>[3]Resultado!E26</f>
        <v>927</v>
      </c>
      <c r="F27" s="54" t="e">
        <f>+VLOOKUP(B27,[3]Resultado!$B:$G,5,0)</f>
        <v>#N/A</v>
      </c>
      <c r="G27" s="54" t="e">
        <f>+VLOOKUP(B27,[3]Resultado!$B:$G,6,0)</f>
        <v>#N/A</v>
      </c>
      <c r="H27" s="81"/>
      <c r="I27" s="250">
        <f>+ROUND((D27-E27),0)</f>
        <v>28</v>
      </c>
      <c r="J27" s="274">
        <f>IFERROR(I27/E27,1)</f>
        <v>3.0204962243797196E-2</v>
      </c>
      <c r="K27" s="305"/>
      <c r="L27" s="250" t="e">
        <f>+ROUND((#REF!-#REF!),0)</f>
        <v>#REF!</v>
      </c>
      <c r="M27" s="274">
        <f>IFERROR(L27/#REF!,1)</f>
        <v>1</v>
      </c>
    </row>
    <row r="28" spans="2:13" s="82" customFormat="1" ht="21" customHeight="1" thickBot="1">
      <c r="B28" s="78" t="s">
        <v>129</v>
      </c>
      <c r="C28" s="79"/>
      <c r="D28" s="77">
        <f>+D26+D27</f>
        <v>50922075</v>
      </c>
      <c r="E28" s="77">
        <f t="shared" ref="E28:G28" si="6">+E26+E27</f>
        <v>54909995</v>
      </c>
      <c r="F28" s="378" t="e">
        <f t="shared" si="6"/>
        <v>#N/A</v>
      </c>
      <c r="G28" s="384" t="e">
        <f t="shared" si="6"/>
        <v>#N/A</v>
      </c>
      <c r="H28" s="81"/>
      <c r="I28" s="272">
        <f>+ROUND((D28-E28),0)</f>
        <v>-3987920</v>
      </c>
      <c r="J28" s="277">
        <f>IFERROR(I28/E28,1)</f>
        <v>-7.2626486307274293E-2</v>
      </c>
      <c r="K28" s="306"/>
      <c r="L28" s="272" t="e">
        <f>+ROUND((#REF!-#REF!),0)</f>
        <v>#REF!</v>
      </c>
      <c r="M28" s="277">
        <f>IFERROR(L28/#REF!,1)</f>
        <v>1</v>
      </c>
    </row>
    <row r="29" spans="2:13" s="82" customFormat="1" ht="21" customHeight="1">
      <c r="B29" s="80" t="s">
        <v>251</v>
      </c>
      <c r="C29" s="74"/>
      <c r="D29" s="81"/>
      <c r="E29" s="67"/>
      <c r="G29" s="383"/>
      <c r="I29" s="250"/>
      <c r="J29" s="274"/>
      <c r="K29" s="305"/>
      <c r="L29" s="250"/>
      <c r="M29" s="274"/>
    </row>
    <row r="30" spans="2:13" s="82" customFormat="1" ht="21" customHeight="1">
      <c r="B30" s="245" t="s">
        <v>284</v>
      </c>
      <c r="C30" s="56">
        <v>31</v>
      </c>
      <c r="D30" s="246">
        <f>+D26/6118965</f>
        <v>8.3218518164428126</v>
      </c>
      <c r="E30" s="246">
        <f>+E26/6118965</f>
        <v>8.9735875266487053</v>
      </c>
      <c r="F30" s="379" t="e">
        <f>+F26/6118965</f>
        <v>#N/A</v>
      </c>
      <c r="G30" s="385" t="e">
        <f>+G26/6118965</f>
        <v>#N/A</v>
      </c>
      <c r="I30" s="250"/>
      <c r="J30" s="274"/>
      <c r="K30" s="305"/>
      <c r="L30" s="250"/>
      <c r="M30" s="274"/>
    </row>
    <row r="31" spans="2:13" s="82" customFormat="1" ht="21" customHeight="1" thickBot="1">
      <c r="B31" s="83" t="s">
        <v>130</v>
      </c>
      <c r="C31" s="84"/>
      <c r="D31" s="85">
        <f>+D30</f>
        <v>8.3218518164428126</v>
      </c>
      <c r="E31" s="85">
        <f t="shared" ref="E31:G31" si="7">+E30</f>
        <v>8.9735875266487053</v>
      </c>
      <c r="F31" s="380" t="e">
        <f t="shared" si="7"/>
        <v>#N/A</v>
      </c>
      <c r="G31" s="386" t="e">
        <f t="shared" si="7"/>
        <v>#N/A</v>
      </c>
      <c r="I31" s="275"/>
      <c r="J31" s="276"/>
      <c r="K31" s="305"/>
      <c r="L31" s="275"/>
      <c r="M31" s="276"/>
    </row>
    <row r="32" spans="2:13" ht="9" customHeight="1">
      <c r="B32" s="91"/>
      <c r="C32" s="91"/>
      <c r="D32" s="91"/>
      <c r="E32" s="91"/>
      <c r="F32" s="108"/>
      <c r="G32" s="108"/>
    </row>
  </sheetData>
  <mergeCells count="6">
    <mergeCell ref="B3:B4"/>
    <mergeCell ref="C3:C4"/>
    <mergeCell ref="I3:J3"/>
    <mergeCell ref="L3:M3"/>
    <mergeCell ref="I2:J2"/>
    <mergeCell ref="L2:M2"/>
  </mergeCells>
  <pageMargins left="0.48" right="0.70866141732283472" top="0.74803149606299213" bottom="0.74803149606299213" header="0.31496062992125984" footer="0.31496062992125984"/>
  <pageSetup scale="4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92D050"/>
  </sheetPr>
  <dimension ref="A2:I69"/>
  <sheetViews>
    <sheetView showGridLines="0" zoomScale="90" zoomScaleNormal="90" workbookViewId="0">
      <selection activeCell="D27" sqref="D27:E27"/>
    </sheetView>
  </sheetViews>
  <sheetFormatPr baseColWidth="10" defaultColWidth="11.44140625" defaultRowHeight="13.8"/>
  <cols>
    <col min="1" max="1" width="10.44140625" style="392" customWidth="1"/>
    <col min="2" max="2" width="56.5546875" style="393" customWidth="1"/>
    <col min="3" max="3" width="7.5546875" style="393" customWidth="1"/>
    <col min="4" max="5" width="14.44140625" style="393" customWidth="1"/>
    <col min="6" max="6" width="8" style="393" customWidth="1"/>
    <col min="7" max="7" width="12.5546875" style="249" bestFit="1" customWidth="1"/>
    <col min="8" max="8" width="11.44140625" style="253"/>
    <col min="9" max="9" width="11.44140625" style="392"/>
    <col min="10" max="10" width="13" style="392" bestFit="1" customWidth="1"/>
    <col min="11" max="16384" width="11.44140625" style="392"/>
  </cols>
  <sheetData>
    <row r="2" spans="1:9" ht="21.75" customHeight="1" thickBot="1"/>
    <row r="3" spans="1:9" s="111" customFormat="1" ht="18" customHeight="1">
      <c r="A3" s="394"/>
      <c r="B3" s="459" t="s">
        <v>105</v>
      </c>
      <c r="C3" s="454" t="s">
        <v>106</v>
      </c>
      <c r="D3" s="50">
        <f>+[3]Activo!$D$2</f>
        <v>45747</v>
      </c>
      <c r="E3" s="51">
        <v>45291</v>
      </c>
      <c r="F3" s="109"/>
      <c r="G3" s="461" t="s">
        <v>234</v>
      </c>
      <c r="H3" s="462"/>
    </row>
    <row r="4" spans="1:9" s="111" customFormat="1" ht="18" customHeight="1">
      <c r="A4" s="110"/>
      <c r="B4" s="460"/>
      <c r="C4" s="455"/>
      <c r="D4" s="395" t="s">
        <v>8</v>
      </c>
      <c r="E4" s="396" t="s">
        <v>8</v>
      </c>
      <c r="F4" s="397"/>
      <c r="G4" s="269" t="s">
        <v>8</v>
      </c>
      <c r="H4" s="270" t="s">
        <v>70</v>
      </c>
    </row>
    <row r="5" spans="1:9" s="111" customFormat="1" ht="21" customHeight="1">
      <c r="A5" s="110"/>
      <c r="B5" s="398" t="s">
        <v>107</v>
      </c>
      <c r="C5" s="53"/>
      <c r="D5" s="54"/>
      <c r="E5" s="55"/>
      <c r="F5" s="110"/>
      <c r="G5" s="250"/>
      <c r="H5" s="271"/>
    </row>
    <row r="6" spans="1:9" s="111" customFormat="1" ht="21" customHeight="1">
      <c r="A6" s="110"/>
      <c r="B6" s="62" t="s">
        <v>108</v>
      </c>
      <c r="C6" s="53">
        <v>4</v>
      </c>
      <c r="D6" s="254">
        <f>[3]Activo!D5</f>
        <v>181996263</v>
      </c>
      <c r="E6" s="254">
        <f>[3]Activo!E5</f>
        <v>108758431</v>
      </c>
      <c r="G6" s="250">
        <f>ROUND(+(D6-E6),0)</f>
        <v>73237832</v>
      </c>
      <c r="H6" s="271">
        <f>IFERROR(G6/E6,1)</f>
        <v>0.67339912250113276</v>
      </c>
      <c r="I6" s="111" t="s">
        <v>344</v>
      </c>
    </row>
    <row r="7" spans="1:9" s="111" customFormat="1" ht="21" customHeight="1">
      <c r="A7" s="110"/>
      <c r="B7" s="62" t="s">
        <v>241</v>
      </c>
      <c r="C7" s="53">
        <v>11</v>
      </c>
      <c r="D7" s="254">
        <f>[3]Activo!D6</f>
        <v>7072303</v>
      </c>
      <c r="E7" s="254">
        <f>[3]Activo!E6</f>
        <v>0</v>
      </c>
      <c r="G7" s="250">
        <f t="shared" ref="G7:G14" si="0">ROUND(+(D7-E7),0)</f>
        <v>7072303</v>
      </c>
      <c r="H7" s="271">
        <f t="shared" ref="H7:H54" si="1">IFERROR(G7/E7,1)</f>
        <v>1</v>
      </c>
      <c r="I7" s="111" t="s">
        <v>345</v>
      </c>
    </row>
    <row r="8" spans="1:9" s="111" customFormat="1" ht="21" customHeight="1">
      <c r="A8" s="110"/>
      <c r="B8" s="62" t="s">
        <v>109</v>
      </c>
      <c r="C8" s="53">
        <v>10</v>
      </c>
      <c r="D8" s="254">
        <f>[3]Activo!D7</f>
        <v>9160242</v>
      </c>
      <c r="E8" s="254">
        <f>[3]Activo!E7</f>
        <v>3641630</v>
      </c>
      <c r="G8" s="250">
        <f t="shared" si="0"/>
        <v>5518612</v>
      </c>
      <c r="H8" s="271">
        <f t="shared" si="1"/>
        <v>1.5154235877889846</v>
      </c>
      <c r="I8" s="111" t="s">
        <v>346</v>
      </c>
    </row>
    <row r="9" spans="1:9" s="111" customFormat="1" ht="21" customHeight="1">
      <c r="A9" s="110"/>
      <c r="B9" s="62" t="s">
        <v>110</v>
      </c>
      <c r="C9" s="53">
        <v>5</v>
      </c>
      <c r="D9" s="254">
        <f>[3]Activo!D8</f>
        <v>139280053</v>
      </c>
      <c r="E9" s="254">
        <f>[3]Activo!E8</f>
        <v>132404464</v>
      </c>
      <c r="G9" s="250">
        <f t="shared" si="0"/>
        <v>6875589</v>
      </c>
      <c r="H9" s="271">
        <f t="shared" si="1"/>
        <v>5.192867968560335E-2</v>
      </c>
      <c r="I9" s="111" t="s">
        <v>347</v>
      </c>
    </row>
    <row r="10" spans="1:9" s="111" customFormat="1" ht="21" customHeight="1">
      <c r="A10" s="110"/>
      <c r="B10" s="62" t="s">
        <v>111</v>
      </c>
      <c r="C10" s="53">
        <v>6</v>
      </c>
      <c r="D10" s="254">
        <f>[3]Activo!D9</f>
        <v>23978</v>
      </c>
      <c r="E10" s="254">
        <f>[3]Activo!E9</f>
        <v>73679</v>
      </c>
      <c r="G10" s="250">
        <f t="shared" si="0"/>
        <v>-49701</v>
      </c>
      <c r="H10" s="271">
        <f t="shared" si="1"/>
        <v>-0.67456127254713016</v>
      </c>
    </row>
    <row r="11" spans="1:9" s="111" customFormat="1" ht="21" customHeight="1">
      <c r="A11" s="110"/>
      <c r="B11" s="62" t="s">
        <v>112</v>
      </c>
      <c r="C11" s="53">
        <v>7</v>
      </c>
      <c r="D11" s="254">
        <f>[3]Activo!D10</f>
        <v>11852116</v>
      </c>
      <c r="E11" s="254">
        <f>[3]Activo!E10</f>
        <v>10476577</v>
      </c>
      <c r="G11" s="250">
        <f t="shared" si="0"/>
        <v>1375539</v>
      </c>
      <c r="H11" s="271">
        <f t="shared" si="1"/>
        <v>0.13129660575205052</v>
      </c>
    </row>
    <row r="12" spans="1:9" s="111" customFormat="1" ht="21" customHeight="1" thickBot="1">
      <c r="A12" s="110"/>
      <c r="B12" s="62" t="s">
        <v>316</v>
      </c>
      <c r="C12" s="53">
        <v>8</v>
      </c>
      <c r="D12" s="254">
        <f>[3]Activo!D11</f>
        <v>34114796</v>
      </c>
      <c r="E12" s="254">
        <f>[3]Activo!E11</f>
        <v>33347482</v>
      </c>
      <c r="G12" s="250">
        <f t="shared" si="0"/>
        <v>767314</v>
      </c>
      <c r="H12" s="271">
        <f t="shared" si="1"/>
        <v>2.300965332255071E-2</v>
      </c>
      <c r="I12" s="410"/>
    </row>
    <row r="13" spans="1:9" s="111" customFormat="1" ht="36" customHeight="1" thickBot="1">
      <c r="A13" s="110"/>
      <c r="B13" s="57" t="s">
        <v>113</v>
      </c>
      <c r="C13" s="391"/>
      <c r="D13" s="256">
        <f>[3]Activo!D12</f>
        <v>383499751</v>
      </c>
      <c r="E13" s="257">
        <f>[3]Activo!E12</f>
        <v>288702263</v>
      </c>
      <c r="F13" s="112"/>
      <c r="G13" s="272">
        <f>ROUND(+(D13-E13),0)</f>
        <v>94797488</v>
      </c>
      <c r="H13" s="273">
        <f t="shared" si="1"/>
        <v>0.32835727373567558</v>
      </c>
    </row>
    <row r="14" spans="1:9" s="111" customFormat="1" ht="21" customHeight="1" thickBot="1">
      <c r="A14" s="110"/>
      <c r="B14" s="62" t="s">
        <v>317</v>
      </c>
      <c r="C14" s="53">
        <v>9</v>
      </c>
      <c r="D14" s="254">
        <f>[3]Activo!D13</f>
        <v>0</v>
      </c>
      <c r="E14" s="254">
        <f>[3]Activo!E13</f>
        <v>0</v>
      </c>
      <c r="G14" s="250">
        <f t="shared" si="0"/>
        <v>0</v>
      </c>
      <c r="H14" s="271">
        <f t="shared" si="1"/>
        <v>1</v>
      </c>
    </row>
    <row r="15" spans="1:9" s="111" customFormat="1" ht="21" customHeight="1" thickBot="1">
      <c r="A15" s="110"/>
      <c r="B15" s="58" t="s">
        <v>114</v>
      </c>
      <c r="C15" s="391"/>
      <c r="D15" s="258">
        <f>[3]Activo!D14</f>
        <v>383499751</v>
      </c>
      <c r="E15" s="259">
        <f>[3]Activo!E14</f>
        <v>288702263</v>
      </c>
      <c r="F15" s="113"/>
      <c r="G15" s="272">
        <f>ROUND(+(D15-E15),0)</f>
        <v>94797488</v>
      </c>
      <c r="H15" s="273">
        <f t="shared" si="1"/>
        <v>0.32835727373567558</v>
      </c>
    </row>
    <row r="16" spans="1:9" s="111" customFormat="1" ht="21" customHeight="1">
      <c r="A16" s="110"/>
      <c r="B16" s="398" t="s">
        <v>276</v>
      </c>
      <c r="C16" s="59"/>
      <c r="D16" s="260"/>
      <c r="E16" s="261"/>
      <c r="F16" s="112"/>
      <c r="G16" s="250"/>
      <c r="H16" s="271"/>
    </row>
    <row r="17" spans="1:9" s="111" customFormat="1" ht="21" customHeight="1">
      <c r="A17" s="110"/>
      <c r="B17" s="62" t="s">
        <v>241</v>
      </c>
      <c r="C17" s="53">
        <v>11</v>
      </c>
      <c r="D17" s="254">
        <f>[3]Activo!D16</f>
        <v>12350641</v>
      </c>
      <c r="E17" s="254">
        <f>[3]Activo!E16</f>
        <v>15898043</v>
      </c>
      <c r="G17" s="250">
        <f t="shared" ref="G17:G26" si="2">ROUND(+(D17-E17),0)</f>
        <v>-3547402</v>
      </c>
      <c r="H17" s="271">
        <f t="shared" si="1"/>
        <v>-0.22313450781332017</v>
      </c>
    </row>
    <row r="18" spans="1:9" s="111" customFormat="1" ht="21" customHeight="1">
      <c r="A18" s="110"/>
      <c r="B18" s="62" t="s">
        <v>109</v>
      </c>
      <c r="C18" s="53">
        <v>10</v>
      </c>
      <c r="D18" s="254">
        <f>[3]Activo!D17</f>
        <v>5458215</v>
      </c>
      <c r="E18" s="254">
        <f>[3]Activo!E17</f>
        <v>6656551</v>
      </c>
      <c r="G18" s="250">
        <f t="shared" si="2"/>
        <v>-1198336</v>
      </c>
      <c r="H18" s="271">
        <f t="shared" si="1"/>
        <v>-0.18002355874686454</v>
      </c>
      <c r="I18" s="111" t="s">
        <v>348</v>
      </c>
    </row>
    <row r="19" spans="1:9" s="111" customFormat="1" ht="21" customHeight="1">
      <c r="A19" s="110"/>
      <c r="B19" s="62" t="s">
        <v>242</v>
      </c>
      <c r="C19" s="53">
        <v>5</v>
      </c>
      <c r="D19" s="254">
        <f>[3]Activo!D18</f>
        <v>3279437</v>
      </c>
      <c r="E19" s="254">
        <f>[3]Activo!E18</f>
        <v>3440746</v>
      </c>
      <c r="G19" s="250">
        <f t="shared" si="2"/>
        <v>-161309</v>
      </c>
      <c r="H19" s="271">
        <f t="shared" si="1"/>
        <v>-4.6881984313866816E-2</v>
      </c>
    </row>
    <row r="20" spans="1:9" s="111" customFormat="1" ht="21" hidden="1" customHeight="1">
      <c r="A20" s="110"/>
      <c r="B20" s="62" t="s">
        <v>291</v>
      </c>
      <c r="C20" s="53"/>
      <c r="D20" s="254">
        <f>[3]Activo!D19</f>
        <v>0</v>
      </c>
      <c r="E20" s="254">
        <f>[3]Activo!E19</f>
        <v>0</v>
      </c>
      <c r="G20" s="250"/>
      <c r="H20" s="271"/>
    </row>
    <row r="21" spans="1:9" s="111" customFormat="1" ht="21" customHeight="1">
      <c r="A21" s="110"/>
      <c r="B21" s="62" t="s">
        <v>115</v>
      </c>
      <c r="C21" s="53">
        <v>12</v>
      </c>
      <c r="D21" s="254">
        <f>[3]Activo!D20</f>
        <v>618342676</v>
      </c>
      <c r="E21" s="254">
        <f>[3]Activo!E20</f>
        <v>619303933</v>
      </c>
      <c r="G21" s="250">
        <f t="shared" si="2"/>
        <v>-961257</v>
      </c>
      <c r="H21" s="271">
        <f t="shared" si="1"/>
        <v>-1.5521571053868958E-3</v>
      </c>
      <c r="I21" s="111" t="s">
        <v>349</v>
      </c>
    </row>
    <row r="22" spans="1:9" s="111" customFormat="1" ht="21" customHeight="1">
      <c r="A22" s="110"/>
      <c r="B22" s="62" t="s">
        <v>358</v>
      </c>
      <c r="C22" s="53">
        <v>13</v>
      </c>
      <c r="D22" s="254">
        <f>[3]Activo!D21</f>
        <v>33823049</v>
      </c>
      <c r="E22" s="254">
        <f>[3]Activo!E21</f>
        <v>33823049</v>
      </c>
      <c r="G22" s="250">
        <f t="shared" si="2"/>
        <v>0</v>
      </c>
      <c r="H22" s="271">
        <f t="shared" si="1"/>
        <v>0</v>
      </c>
    </row>
    <row r="23" spans="1:9" s="111" customFormat="1" ht="21" customHeight="1">
      <c r="A23" s="110"/>
      <c r="B23" s="62" t="s">
        <v>318</v>
      </c>
      <c r="C23" s="53">
        <v>14</v>
      </c>
      <c r="D23" s="254">
        <f>[3]Activo!D22</f>
        <v>2060788876</v>
      </c>
      <c r="E23" s="254">
        <f>[3]Activo!E22</f>
        <v>2044544144</v>
      </c>
      <c r="G23" s="250">
        <f t="shared" si="2"/>
        <v>16244732</v>
      </c>
      <c r="H23" s="271">
        <f t="shared" si="1"/>
        <v>7.9454053597582779E-3</v>
      </c>
      <c r="I23" s="111" t="s">
        <v>350</v>
      </c>
    </row>
    <row r="24" spans="1:9" s="111" customFormat="1" ht="21" customHeight="1">
      <c r="A24" s="110"/>
      <c r="B24" s="62" t="s">
        <v>286</v>
      </c>
      <c r="C24" s="53">
        <v>15</v>
      </c>
      <c r="D24" s="254">
        <f>[3]Activo!D23</f>
        <v>5476140</v>
      </c>
      <c r="E24" s="254">
        <f>[3]Activo!E23</f>
        <v>3707341</v>
      </c>
      <c r="G24" s="250">
        <f t="shared" ref="G24" si="3">ROUND(+(D24-E24),0)</f>
        <v>1768799</v>
      </c>
      <c r="H24" s="271">
        <f t="shared" ref="H24" si="4">IFERROR(G24/E24,1)</f>
        <v>0.47710717735433561</v>
      </c>
    </row>
    <row r="25" spans="1:9" s="111" customFormat="1" ht="21" customHeight="1" thickBot="1">
      <c r="A25" s="110"/>
      <c r="B25" s="62" t="s">
        <v>319</v>
      </c>
      <c r="C25" s="53">
        <v>16</v>
      </c>
      <c r="D25" s="254">
        <f>[3]Activo!D24</f>
        <v>2153470</v>
      </c>
      <c r="E25" s="254">
        <f>[3]Activo!E24</f>
        <v>2083265</v>
      </c>
      <c r="G25" s="250">
        <f t="shared" si="2"/>
        <v>70205</v>
      </c>
      <c r="H25" s="271">
        <f t="shared" si="1"/>
        <v>3.3699505343775277E-2</v>
      </c>
      <c r="I25" s="410"/>
    </row>
    <row r="26" spans="1:9" s="111" customFormat="1" ht="21" customHeight="1" thickBot="1">
      <c r="A26" s="110"/>
      <c r="B26" s="390" t="s">
        <v>116</v>
      </c>
      <c r="C26" s="391"/>
      <c r="D26" s="256">
        <f>[3]Activo!D26</f>
        <v>2741672504</v>
      </c>
      <c r="E26" s="257">
        <f>[3]Activo!E26</f>
        <v>2729457072</v>
      </c>
      <c r="F26" s="112"/>
      <c r="G26" s="272">
        <f t="shared" si="2"/>
        <v>12215432</v>
      </c>
      <c r="H26" s="273">
        <f t="shared" si="1"/>
        <v>4.4754072615068412E-3</v>
      </c>
    </row>
    <row r="27" spans="1:9" s="110" customFormat="1" ht="11.25" customHeight="1" thickBot="1">
      <c r="A27" s="399"/>
      <c r="B27" s="62"/>
      <c r="C27" s="56"/>
      <c r="D27" s="254"/>
      <c r="E27" s="255"/>
      <c r="F27" s="111"/>
      <c r="G27" s="250"/>
      <c r="H27" s="271"/>
    </row>
    <row r="28" spans="1:9" s="111" customFormat="1" ht="21" customHeight="1" thickBot="1">
      <c r="B28" s="400" t="s">
        <v>243</v>
      </c>
      <c r="C28" s="60"/>
      <c r="D28" s="262">
        <f>[3]Activo!D28</f>
        <v>3125172255</v>
      </c>
      <c r="E28" s="263">
        <f>[3]Activo!E28</f>
        <v>3018159335</v>
      </c>
      <c r="F28" s="112"/>
      <c r="G28" s="272">
        <f>ROUND(+(D28-E28),0)</f>
        <v>107012920</v>
      </c>
      <c r="H28" s="273">
        <f t="shared" si="1"/>
        <v>3.5456352074931127E-2</v>
      </c>
    </row>
    <row r="29" spans="1:9">
      <c r="B29" s="401"/>
      <c r="C29" s="401"/>
      <c r="D29" s="114"/>
      <c r="E29" s="114"/>
      <c r="F29" s="114"/>
      <c r="G29" s="252"/>
      <c r="H29" s="271"/>
    </row>
    <row r="30" spans="1:9" ht="14.4" thickBot="1">
      <c r="B30" s="401"/>
      <c r="C30" s="401"/>
      <c r="D30" s="114"/>
      <c r="E30" s="114"/>
      <c r="F30" s="114"/>
      <c r="G30" s="252"/>
      <c r="H30" s="271"/>
    </row>
    <row r="31" spans="1:9" s="111" customFormat="1" ht="20.25" customHeight="1">
      <c r="A31" s="394"/>
      <c r="B31" s="459" t="s">
        <v>117</v>
      </c>
      <c r="C31" s="454" t="s">
        <v>106</v>
      </c>
      <c r="D31" s="50">
        <f>+D3</f>
        <v>45747</v>
      </c>
      <c r="E31" s="51">
        <f>+E3</f>
        <v>45291</v>
      </c>
      <c r="G31" s="250"/>
      <c r="H31" s="271"/>
    </row>
    <row r="32" spans="1:9" s="111" customFormat="1" ht="18" customHeight="1">
      <c r="A32" s="110"/>
      <c r="B32" s="460"/>
      <c r="C32" s="455"/>
      <c r="D32" s="395" t="s">
        <v>8</v>
      </c>
      <c r="E32" s="396" t="s">
        <v>8</v>
      </c>
      <c r="G32" s="250"/>
      <c r="H32" s="271"/>
    </row>
    <row r="33" spans="1:9" s="111" customFormat="1" ht="18" customHeight="1">
      <c r="A33" s="110"/>
      <c r="B33" s="398" t="s">
        <v>118</v>
      </c>
      <c r="C33" s="402"/>
      <c r="D33" s="54"/>
      <c r="E33" s="55"/>
      <c r="G33" s="250"/>
      <c r="H33" s="271"/>
    </row>
    <row r="34" spans="1:9" s="110" customFormat="1" ht="18" customHeight="1">
      <c r="B34" s="62" t="s">
        <v>325</v>
      </c>
      <c r="C34" s="53">
        <v>17</v>
      </c>
      <c r="D34" s="254">
        <f>[3]Pasivo!D5</f>
        <v>73843803</v>
      </c>
      <c r="E34" s="254">
        <f>[3]Pasivo!E5</f>
        <v>116332739</v>
      </c>
      <c r="F34" s="111"/>
      <c r="G34" s="250">
        <f t="shared" ref="G34:G42" si="5">ROUND(+(D34-E34),0)</f>
        <v>-42488936</v>
      </c>
      <c r="H34" s="271">
        <f t="shared" si="1"/>
        <v>-0.3652362728260013</v>
      </c>
      <c r="I34" s="110" t="s">
        <v>351</v>
      </c>
    </row>
    <row r="35" spans="1:9" s="110" customFormat="1" ht="18" customHeight="1">
      <c r="B35" s="62" t="s">
        <v>287</v>
      </c>
      <c r="C35" s="53">
        <v>15</v>
      </c>
      <c r="D35" s="254">
        <f>[3]Pasivo!D6</f>
        <v>2410806</v>
      </c>
      <c r="E35" s="254">
        <f>[3]Pasivo!E6</f>
        <v>1802206</v>
      </c>
      <c r="F35" s="111"/>
      <c r="G35" s="250">
        <f t="shared" ref="G35" si="6">ROUND(+(D35-E35),0)</f>
        <v>608600</v>
      </c>
      <c r="H35" s="271">
        <f t="shared" ref="H35" si="7">IFERROR(G35/E35,1)</f>
        <v>0.33769724437716886</v>
      </c>
    </row>
    <row r="36" spans="1:9" s="110" customFormat="1" ht="18" customHeight="1">
      <c r="B36" s="62" t="s">
        <v>320</v>
      </c>
      <c r="C36" s="53">
        <v>18</v>
      </c>
      <c r="D36" s="254">
        <f>[3]Pasivo!D7</f>
        <v>152707150</v>
      </c>
      <c r="E36" s="254">
        <f>[3]Pasivo!E7</f>
        <v>184642753</v>
      </c>
      <c r="F36" s="111"/>
      <c r="G36" s="250">
        <f t="shared" si="5"/>
        <v>-31935603</v>
      </c>
      <c r="H36" s="271">
        <f t="shared" si="1"/>
        <v>-0.17295887588937758</v>
      </c>
      <c r="I36" s="111" t="s">
        <v>352</v>
      </c>
    </row>
    <row r="37" spans="1:9" s="110" customFormat="1" ht="18" customHeight="1">
      <c r="B37" s="62" t="s">
        <v>119</v>
      </c>
      <c r="C37" s="53">
        <v>6</v>
      </c>
      <c r="D37" s="254">
        <f>[3]Pasivo!D8</f>
        <v>1465346</v>
      </c>
      <c r="E37" s="254">
        <f>[3]Pasivo!E8</f>
        <v>22293636</v>
      </c>
      <c r="F37" s="111"/>
      <c r="G37" s="250">
        <f t="shared" si="5"/>
        <v>-20828290</v>
      </c>
      <c r="H37" s="271">
        <f t="shared" si="1"/>
        <v>-0.93427065912442453</v>
      </c>
    </row>
    <row r="38" spans="1:9" s="110" customFormat="1" ht="18" customHeight="1">
      <c r="B38" s="62" t="s">
        <v>123</v>
      </c>
      <c r="C38" s="53">
        <v>19</v>
      </c>
      <c r="D38" s="254">
        <f>[3]Pasivo!D9</f>
        <v>1415555</v>
      </c>
      <c r="E38" s="254">
        <f>[3]Pasivo!E9</f>
        <v>1060276</v>
      </c>
      <c r="F38" s="111"/>
      <c r="G38" s="250">
        <f t="shared" si="5"/>
        <v>355279</v>
      </c>
      <c r="H38" s="271">
        <f t="shared" si="1"/>
        <v>0.33508162025736693</v>
      </c>
    </row>
    <row r="39" spans="1:9" s="110" customFormat="1" ht="18" customHeight="1">
      <c r="B39" s="62" t="s">
        <v>120</v>
      </c>
      <c r="C39" s="53">
        <v>8</v>
      </c>
      <c r="D39" s="254">
        <f>[3]Pasivo!D10</f>
        <v>691045</v>
      </c>
      <c r="E39" s="254">
        <f>[3]Pasivo!E10</f>
        <v>538435</v>
      </c>
      <c r="F39" s="111"/>
      <c r="G39" s="250">
        <f t="shared" si="5"/>
        <v>152610</v>
      </c>
      <c r="H39" s="271">
        <f t="shared" si="1"/>
        <v>0.28343254060378692</v>
      </c>
    </row>
    <row r="40" spans="1:9" s="110" customFormat="1" ht="18" customHeight="1">
      <c r="B40" s="62" t="s">
        <v>321</v>
      </c>
      <c r="C40" s="53">
        <v>20</v>
      </c>
      <c r="D40" s="254">
        <f>[3]Pasivo!D11</f>
        <v>3763334</v>
      </c>
      <c r="E40" s="254">
        <f>[3]Pasivo!E11</f>
        <v>7471420</v>
      </c>
      <c r="F40" s="111"/>
      <c r="G40" s="250">
        <f t="shared" si="5"/>
        <v>-3708086</v>
      </c>
      <c r="H40" s="271">
        <f t="shared" si="1"/>
        <v>-0.49630271086353062</v>
      </c>
    </row>
    <row r="41" spans="1:9" s="110" customFormat="1" ht="18" customHeight="1" thickBot="1">
      <c r="B41" s="62" t="s">
        <v>233</v>
      </c>
      <c r="C41" s="53">
        <v>21</v>
      </c>
      <c r="D41" s="254">
        <f>[3]Pasivo!D12</f>
        <v>19950954</v>
      </c>
      <c r="E41" s="254">
        <f>[3]Pasivo!E12</f>
        <v>17372024</v>
      </c>
      <c r="F41" s="111"/>
      <c r="G41" s="250">
        <f t="shared" si="5"/>
        <v>2578930</v>
      </c>
      <c r="H41" s="271">
        <f t="shared" si="1"/>
        <v>0.14845305302364306</v>
      </c>
      <c r="I41" s="110" t="s">
        <v>353</v>
      </c>
    </row>
    <row r="42" spans="1:9" s="111" customFormat="1" ht="42" thickBot="1">
      <c r="A42" s="110"/>
      <c r="B42" s="57" t="s">
        <v>277</v>
      </c>
      <c r="C42" s="391"/>
      <c r="D42" s="256">
        <f>[3]Pasivo!D13</f>
        <v>256247993</v>
      </c>
      <c r="E42" s="257">
        <f>[3]Pasivo!E13</f>
        <v>351513489</v>
      </c>
      <c r="G42" s="272">
        <f t="shared" si="5"/>
        <v>-95265496</v>
      </c>
      <c r="H42" s="273">
        <f t="shared" si="1"/>
        <v>-0.27101519281952791</v>
      </c>
    </row>
    <row r="43" spans="1:9" s="110" customFormat="1" ht="21.75" customHeight="1" thickBot="1">
      <c r="B43" s="62" t="s">
        <v>322</v>
      </c>
      <c r="C43" s="56"/>
      <c r="D43" s="254">
        <f>[3]Pasivo!D14</f>
        <v>0</v>
      </c>
      <c r="E43" s="254">
        <f>[3]Pasivo!E14</f>
        <v>0</v>
      </c>
      <c r="F43" s="111"/>
      <c r="G43" s="250">
        <f t="shared" ref="G43" si="8">ROUND(+(D43-E43),0)</f>
        <v>0</v>
      </c>
      <c r="H43" s="271">
        <f t="shared" ref="H43" si="9">IFERROR(G43/E43,1)</f>
        <v>1</v>
      </c>
    </row>
    <row r="44" spans="1:9" s="111" customFormat="1" ht="21" customHeight="1" thickBot="1">
      <c r="A44" s="110"/>
      <c r="B44" s="390" t="s">
        <v>121</v>
      </c>
      <c r="C44" s="403"/>
      <c r="D44" s="256">
        <f>[3]Pasivo!D15</f>
        <v>256247993</v>
      </c>
      <c r="E44" s="257">
        <f>[3]Pasivo!E15</f>
        <v>351513489</v>
      </c>
      <c r="G44" s="272">
        <f>ROUND(+(D44-E44),0)</f>
        <v>-95265496</v>
      </c>
      <c r="H44" s="273">
        <f t="shared" si="1"/>
        <v>-0.27101519281952791</v>
      </c>
    </row>
    <row r="45" spans="1:9" s="110" customFormat="1" ht="21" customHeight="1">
      <c r="B45" s="398" t="s">
        <v>122</v>
      </c>
      <c r="C45" s="402"/>
      <c r="D45" s="254">
        <f>[3]Pasivo!D16</f>
        <v>0</v>
      </c>
      <c r="E45" s="255">
        <f>[3]Pasivo!E16</f>
        <v>0</v>
      </c>
      <c r="F45" s="111"/>
      <c r="G45" s="250"/>
      <c r="H45" s="271"/>
    </row>
    <row r="46" spans="1:9" s="110" customFormat="1" ht="18" customHeight="1">
      <c r="B46" s="62" t="s">
        <v>359</v>
      </c>
      <c r="C46" s="53">
        <v>17</v>
      </c>
      <c r="D46" s="254">
        <f>[3]Pasivo!D17</f>
        <v>1358226848</v>
      </c>
      <c r="E46" s="254">
        <f>[3]Pasivo!E17</f>
        <v>1205884299</v>
      </c>
      <c r="F46" s="111"/>
      <c r="G46" s="250">
        <f t="shared" ref="G46:G54" si="10">ROUND(+(D46-E46),0)</f>
        <v>152342549</v>
      </c>
      <c r="H46" s="271">
        <f t="shared" si="1"/>
        <v>0.12633264163596181</v>
      </c>
      <c r="I46" s="110" t="s">
        <v>354</v>
      </c>
    </row>
    <row r="47" spans="1:9" s="110" customFormat="1" ht="18" customHeight="1">
      <c r="B47" s="62" t="s">
        <v>287</v>
      </c>
      <c r="C47" s="53">
        <v>15</v>
      </c>
      <c r="D47" s="254">
        <f>[3]Pasivo!D18</f>
        <v>3731104</v>
      </c>
      <c r="E47" s="254">
        <f>[3]Pasivo!E18</f>
        <v>2578760</v>
      </c>
      <c r="F47" s="111"/>
      <c r="G47" s="250">
        <f t="shared" ref="G47" si="11">ROUND(+(D47-E47),0)</f>
        <v>1152344</v>
      </c>
      <c r="H47" s="271">
        <f t="shared" ref="H47" si="12">IFERROR(G47/E47,1)</f>
        <v>0.44685973103352</v>
      </c>
    </row>
    <row r="48" spans="1:9" s="110" customFormat="1" ht="18" customHeight="1">
      <c r="B48" s="62" t="s">
        <v>125</v>
      </c>
      <c r="C48" s="53">
        <v>18</v>
      </c>
      <c r="D48" s="254">
        <f>[3]Pasivo!D19</f>
        <v>1360344</v>
      </c>
      <c r="E48" s="254">
        <f>[3]Pasivo!E19</f>
        <v>1362795</v>
      </c>
      <c r="F48" s="111"/>
      <c r="G48" s="250">
        <f t="shared" si="10"/>
        <v>-2451</v>
      </c>
      <c r="H48" s="271">
        <f t="shared" si="1"/>
        <v>-1.7985096804728517E-3</v>
      </c>
    </row>
    <row r="49" spans="1:8" s="110" customFormat="1" ht="18" customHeight="1">
      <c r="B49" s="62" t="s">
        <v>119</v>
      </c>
      <c r="C49" s="53"/>
      <c r="D49" s="254">
        <f>[3]Pasivo!D20</f>
        <v>0</v>
      </c>
      <c r="E49" s="254">
        <f>[3]Pasivo!E20</f>
        <v>0</v>
      </c>
      <c r="F49" s="111"/>
      <c r="G49" s="250">
        <f t="shared" ref="G49" si="13">ROUND(+(D49-E49),0)</f>
        <v>0</v>
      </c>
      <c r="H49" s="271">
        <f t="shared" ref="H49" si="14">IFERROR(G49/E49,1)</f>
        <v>1</v>
      </c>
    </row>
    <row r="50" spans="1:8" s="110" customFormat="1" ht="18" customHeight="1">
      <c r="B50" s="62" t="s">
        <v>123</v>
      </c>
      <c r="C50" s="53">
        <v>19</v>
      </c>
      <c r="D50" s="254">
        <f>[3]Pasivo!D21</f>
        <v>1933401</v>
      </c>
      <c r="E50" s="254">
        <f>[3]Pasivo!E21</f>
        <v>1908445</v>
      </c>
      <c r="F50" s="111"/>
      <c r="G50" s="250">
        <f t="shared" si="10"/>
        <v>24956</v>
      </c>
      <c r="H50" s="271">
        <f t="shared" si="1"/>
        <v>1.3076614730841077E-2</v>
      </c>
    </row>
    <row r="51" spans="1:8" s="110" customFormat="1" ht="18" customHeight="1">
      <c r="B51" s="62" t="s">
        <v>124</v>
      </c>
      <c r="C51" s="53">
        <v>16</v>
      </c>
      <c r="D51" s="254">
        <f>[3]Pasivo!D22</f>
        <v>131552302</v>
      </c>
      <c r="E51" s="254">
        <f>[3]Pasivo!E22</f>
        <v>130710566</v>
      </c>
      <c r="F51" s="111"/>
      <c r="G51" s="250">
        <f t="shared" si="10"/>
        <v>841736</v>
      </c>
      <c r="H51" s="271">
        <f t="shared" si="1"/>
        <v>6.4396936357845776E-3</v>
      </c>
    </row>
    <row r="52" spans="1:8" s="110" customFormat="1" ht="18" customHeight="1">
      <c r="B52" s="62" t="s">
        <v>323</v>
      </c>
      <c r="C52" s="53">
        <v>20</v>
      </c>
      <c r="D52" s="254">
        <f>[3]Pasivo!D23</f>
        <v>24475443</v>
      </c>
      <c r="E52" s="254">
        <f>[3]Pasivo!E23</f>
        <v>24484390</v>
      </c>
      <c r="F52" s="111"/>
      <c r="G52" s="250">
        <f t="shared" si="10"/>
        <v>-8947</v>
      </c>
      <c r="H52" s="271">
        <f t="shared" si="1"/>
        <v>-3.654164959796834E-4</v>
      </c>
    </row>
    <row r="53" spans="1:8" s="110" customFormat="1" ht="18" customHeight="1" thickBot="1">
      <c r="B53" s="62" t="s">
        <v>233</v>
      </c>
      <c r="C53" s="53">
        <v>21</v>
      </c>
      <c r="D53" s="254">
        <f>[3]Pasivo!D24</f>
        <v>7689659</v>
      </c>
      <c r="E53" s="254">
        <f>[3]Pasivo!E24</f>
        <v>7601123</v>
      </c>
      <c r="F53" s="111"/>
      <c r="G53" s="250">
        <f t="shared" si="10"/>
        <v>88536</v>
      </c>
      <c r="H53" s="271">
        <f t="shared" si="1"/>
        <v>1.1647752575507592E-2</v>
      </c>
    </row>
    <row r="54" spans="1:8" s="110" customFormat="1" ht="21" customHeight="1" thickBot="1">
      <c r="B54" s="390" t="s">
        <v>244</v>
      </c>
      <c r="C54" s="403"/>
      <c r="D54" s="256">
        <f>[3]Pasivo!D25</f>
        <v>1528969101</v>
      </c>
      <c r="E54" s="257">
        <f>[3]Pasivo!E25</f>
        <v>1374530378</v>
      </c>
      <c r="F54" s="111"/>
      <c r="G54" s="272">
        <f t="shared" si="10"/>
        <v>154438723</v>
      </c>
      <c r="H54" s="273">
        <f t="shared" si="1"/>
        <v>0.11235744620261859</v>
      </c>
    </row>
    <row r="55" spans="1:8" s="110" customFormat="1" ht="4.5" customHeight="1" thickBot="1">
      <c r="B55" s="62"/>
      <c r="C55" s="56"/>
      <c r="D55" s="254">
        <f>[3]Pasivo!D26</f>
        <v>0</v>
      </c>
      <c r="E55" s="255">
        <f>[3]Pasivo!E26</f>
        <v>0</v>
      </c>
      <c r="F55" s="111"/>
      <c r="G55" s="250"/>
      <c r="H55" s="271"/>
    </row>
    <row r="56" spans="1:8" s="110" customFormat="1" ht="21" customHeight="1" thickBot="1">
      <c r="B56" s="390" t="s">
        <v>126</v>
      </c>
      <c r="C56" s="403"/>
      <c r="D56" s="256">
        <f>[3]Pasivo!D27</f>
        <v>1785217094</v>
      </c>
      <c r="E56" s="257">
        <f>[3]Pasivo!E27</f>
        <v>1726043867</v>
      </c>
      <c r="F56" s="111"/>
      <c r="G56" s="272">
        <f>ROUND(+(D56-E56),0)</f>
        <v>59173227</v>
      </c>
      <c r="H56" s="273">
        <f t="shared" ref="H56:H67" si="15">IFERROR(G56/E56,100)</f>
        <v>3.4282574233091612E-2</v>
      </c>
    </row>
    <row r="57" spans="1:8" s="110" customFormat="1" ht="21" customHeight="1">
      <c r="B57" s="398" t="s">
        <v>245</v>
      </c>
      <c r="C57" s="61"/>
      <c r="D57" s="264">
        <f>[3]Pasivo!D28</f>
        <v>0</v>
      </c>
      <c r="E57" s="265">
        <f>[3]Pasivo!E28</f>
        <v>0</v>
      </c>
      <c r="F57" s="111"/>
      <c r="G57" s="250"/>
      <c r="H57" s="271"/>
    </row>
    <row r="58" spans="1:8" s="110" customFormat="1" ht="18" customHeight="1">
      <c r="B58" s="62" t="s">
        <v>360</v>
      </c>
      <c r="C58" s="53">
        <v>22</v>
      </c>
      <c r="D58" s="254">
        <f>[3]Pasivo!D29</f>
        <v>155567354</v>
      </c>
      <c r="E58" s="254">
        <f>[3]Pasivo!E29</f>
        <v>155567354</v>
      </c>
      <c r="F58" s="111"/>
      <c r="G58" s="250">
        <f t="shared" ref="G58:G65" si="16">ROUND(+(D58-E58),0)</f>
        <v>0</v>
      </c>
      <c r="H58" s="271">
        <f t="shared" si="15"/>
        <v>0</v>
      </c>
    </row>
    <row r="59" spans="1:8" s="110" customFormat="1" ht="18" customHeight="1">
      <c r="B59" s="62" t="s">
        <v>324</v>
      </c>
      <c r="C59" s="53">
        <v>22</v>
      </c>
      <c r="D59" s="254">
        <f>[3]Pasivo!D30</f>
        <v>457943203</v>
      </c>
      <c r="E59" s="254">
        <f>[3]Pasivo!E30</f>
        <v>407021368</v>
      </c>
      <c r="F59" s="111"/>
      <c r="G59" s="250">
        <f t="shared" si="16"/>
        <v>50921835</v>
      </c>
      <c r="H59" s="271">
        <f t="shared" si="15"/>
        <v>0.12510850535984636</v>
      </c>
    </row>
    <row r="60" spans="1:8" s="110" customFormat="1" ht="18" customHeight="1">
      <c r="B60" s="404" t="s">
        <v>361</v>
      </c>
      <c r="C60" s="53">
        <v>22</v>
      </c>
      <c r="D60" s="254">
        <f>[3]Pasivo!D31</f>
        <v>164064038</v>
      </c>
      <c r="E60" s="254">
        <f>[3]Pasivo!E31</f>
        <v>164064038</v>
      </c>
      <c r="F60" s="111"/>
      <c r="G60" s="250">
        <f t="shared" si="16"/>
        <v>0</v>
      </c>
      <c r="H60" s="271">
        <f t="shared" si="15"/>
        <v>0</v>
      </c>
    </row>
    <row r="61" spans="1:8" s="111" customFormat="1" ht="18" customHeight="1">
      <c r="A61" s="110"/>
      <c r="B61" s="62" t="s">
        <v>127</v>
      </c>
      <c r="C61" s="53">
        <v>22</v>
      </c>
      <c r="D61" s="254">
        <f>[3]Pasivo!D32</f>
        <v>-5965550</v>
      </c>
      <c r="E61" s="254">
        <f>[3]Pasivo!E32</f>
        <v>-5965550</v>
      </c>
      <c r="G61" s="250">
        <f t="shared" si="16"/>
        <v>0</v>
      </c>
      <c r="H61" s="271">
        <f t="shared" si="15"/>
        <v>0</v>
      </c>
    </row>
    <row r="62" spans="1:8" s="111" customFormat="1" ht="18" customHeight="1" thickBot="1">
      <c r="A62" s="110"/>
      <c r="B62" s="62" t="s">
        <v>300</v>
      </c>
      <c r="C62" s="53">
        <v>22</v>
      </c>
      <c r="D62" s="254">
        <f>[3]Pasivo!D33</f>
        <v>568297358</v>
      </c>
      <c r="E62" s="254">
        <f>[3]Pasivo!E33</f>
        <v>571379740</v>
      </c>
      <c r="G62" s="250">
        <f t="shared" si="16"/>
        <v>-3082382</v>
      </c>
      <c r="H62" s="271"/>
    </row>
    <row r="63" spans="1:8" s="111" customFormat="1" ht="21.75" customHeight="1" thickBot="1">
      <c r="A63" s="110"/>
      <c r="B63" s="405" t="s">
        <v>94</v>
      </c>
      <c r="C63" s="53"/>
      <c r="D63" s="260">
        <f>[3]Pasivo!D34</f>
        <v>1339906403</v>
      </c>
      <c r="E63" s="261">
        <f>[3]Pasivo!E34</f>
        <v>1292066950</v>
      </c>
      <c r="G63" s="272">
        <f>ROUND(+(D63-E63),0)</f>
        <v>47839453</v>
      </c>
      <c r="H63" s="273">
        <f t="shared" si="15"/>
        <v>3.7025521781204912E-2</v>
      </c>
    </row>
    <row r="64" spans="1:8" s="111" customFormat="1" ht="21.75" customHeight="1" thickBot="1">
      <c r="A64" s="110"/>
      <c r="B64" s="62" t="s">
        <v>95</v>
      </c>
      <c r="C64" s="53">
        <v>23</v>
      </c>
      <c r="D64" s="254">
        <f>[3]Pasivo!D35</f>
        <v>48758</v>
      </c>
      <c r="E64" s="254">
        <f>[3]Pasivo!E35</f>
        <v>48518</v>
      </c>
      <c r="G64" s="250">
        <f t="shared" si="16"/>
        <v>240</v>
      </c>
      <c r="H64" s="271">
        <f t="shared" si="15"/>
        <v>4.9466177501133598E-3</v>
      </c>
    </row>
    <row r="65" spans="1:8" s="111" customFormat="1" ht="18" customHeight="1" thickBot="1">
      <c r="A65" s="110"/>
      <c r="B65" s="390" t="s">
        <v>246</v>
      </c>
      <c r="C65" s="63"/>
      <c r="D65" s="256">
        <f>[3]Pasivo!D36</f>
        <v>1339955161</v>
      </c>
      <c r="E65" s="257">
        <f>[3]Pasivo!E36</f>
        <v>1292115468</v>
      </c>
      <c r="G65" s="272">
        <f t="shared" si="16"/>
        <v>47839693</v>
      </c>
      <c r="H65" s="273">
        <f t="shared" si="15"/>
        <v>3.7024317241591907E-2</v>
      </c>
    </row>
    <row r="66" spans="1:8" s="110" customFormat="1" ht="11.25" customHeight="1" thickBot="1">
      <c r="B66" s="62"/>
      <c r="C66" s="56"/>
      <c r="D66" s="254">
        <f>[3]Pasivo!D37</f>
        <v>0</v>
      </c>
      <c r="E66" s="255">
        <f>[3]Pasivo!E37</f>
        <v>0</v>
      </c>
      <c r="F66" s="111"/>
      <c r="G66" s="250"/>
      <c r="H66" s="271"/>
    </row>
    <row r="67" spans="1:8" s="111" customFormat="1" ht="20.25" customHeight="1" thickBot="1">
      <c r="A67" s="110"/>
      <c r="B67" s="400" t="s">
        <v>247</v>
      </c>
      <c r="C67" s="406"/>
      <c r="D67" s="262">
        <f>[3]Pasivo!D38</f>
        <v>3125172255</v>
      </c>
      <c r="E67" s="263">
        <f>[3]Pasivo!E38</f>
        <v>3018159335</v>
      </c>
      <c r="G67" s="272">
        <f>ROUND(+(D67-E67),0)</f>
        <v>107012920</v>
      </c>
      <c r="H67" s="273">
        <f t="shared" si="15"/>
        <v>3.5456352074931127E-2</v>
      </c>
    </row>
    <row r="69" spans="1:8" ht="15" customHeight="1">
      <c r="B69" s="407" t="s">
        <v>281</v>
      </c>
      <c r="C69" s="407"/>
      <c r="D69" s="408">
        <f>+D67-D28</f>
        <v>0</v>
      </c>
      <c r="E69" s="408">
        <f>+E67-E28</f>
        <v>0</v>
      </c>
    </row>
  </sheetData>
  <mergeCells count="5">
    <mergeCell ref="B3:B4"/>
    <mergeCell ref="C3:C4"/>
    <mergeCell ref="B31:B32"/>
    <mergeCell ref="C31:C32"/>
    <mergeCell ref="G3:H3"/>
  </mergeCells>
  <pageMargins left="0.27559055118110237" right="0.47244094488188981" top="0.74803149606299213" bottom="0.74803149606299213" header="0.31496062992125984" footer="0.31496062992125984"/>
  <pageSetup fitToHeight="2" orientation="portrait" r:id="rId1"/>
  <rowBreaks count="1" manualBreakCount="1">
    <brk id="28" min="1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92D050"/>
    <pageSetUpPr fitToPage="1"/>
  </sheetPr>
  <dimension ref="B1:L72"/>
  <sheetViews>
    <sheetView showGridLines="0" topLeftCell="A53" zoomScale="90" zoomScaleNormal="90" workbookViewId="0">
      <selection activeCell="D27" sqref="D27:E27"/>
    </sheetView>
  </sheetViews>
  <sheetFormatPr baseColWidth="10" defaultColWidth="11.44140625" defaultRowHeight="13.8"/>
  <cols>
    <col min="1" max="1" width="6.33203125" style="90" customWidth="1"/>
    <col min="2" max="2" width="71.6640625" style="90" customWidth="1"/>
    <col min="3" max="3" width="5.5546875" style="90" customWidth="1"/>
    <col min="4" max="4" width="14.5546875" style="90" bestFit="1" customWidth="1"/>
    <col min="5" max="5" width="12.44140625" style="90" bestFit="1" customWidth="1"/>
    <col min="6" max="6" width="4.6640625" style="90" customWidth="1"/>
    <col min="7" max="7" width="12" style="266" bestFit="1" customWidth="1"/>
    <col min="8" max="8" width="11.44140625" style="268"/>
    <col min="9" max="9" width="11.44140625" style="90"/>
    <col min="10" max="10" width="13.5546875" style="90" customWidth="1"/>
    <col min="11" max="11" width="12.44140625" style="90" bestFit="1" customWidth="1"/>
    <col min="12" max="16384" width="11.44140625" style="90"/>
  </cols>
  <sheetData>
    <row r="1" spans="2:12" ht="14.4" thickBot="1"/>
    <row r="2" spans="2:12" s="91" customFormat="1" ht="12" customHeight="1">
      <c r="B2" s="463" t="s">
        <v>219</v>
      </c>
      <c r="C2" s="465" t="s">
        <v>106</v>
      </c>
      <c r="D2" s="243">
        <f>+[3]Flujo!$D$3</f>
        <v>45747</v>
      </c>
      <c r="E2" s="243">
        <f>+[3]Flujo!$D$3</f>
        <v>45747</v>
      </c>
      <c r="G2" s="456" t="s">
        <v>234</v>
      </c>
      <c r="H2" s="457"/>
    </row>
    <row r="3" spans="2:12" s="91" customFormat="1" ht="12" customHeight="1">
      <c r="B3" s="464"/>
      <c r="C3" s="466"/>
      <c r="D3" s="92" t="s">
        <v>8</v>
      </c>
      <c r="E3" s="93" t="s">
        <v>8</v>
      </c>
      <c r="G3" s="278" t="s">
        <v>8</v>
      </c>
      <c r="H3" s="279" t="s">
        <v>70</v>
      </c>
    </row>
    <row r="4" spans="2:12" s="96" customFormat="1" ht="21" customHeight="1">
      <c r="B4" s="86" t="s">
        <v>131</v>
      </c>
      <c r="C4" s="87"/>
      <c r="D4" s="287">
        <f>+VLOOKUP(B4,[3]Flujo!$B:$E,3,0)</f>
        <v>221627966</v>
      </c>
      <c r="E4" s="287">
        <f>+VLOOKUP(B4,[3]Flujo!$B:$E,4,0)</f>
        <v>209483331</v>
      </c>
      <c r="F4" s="95"/>
      <c r="G4" s="250">
        <f>ROUND(+(D4-E4),0)</f>
        <v>12144635</v>
      </c>
      <c r="H4" s="280">
        <f>+IFERROR(G4/E4,1)</f>
        <v>5.7974230894772244E-2</v>
      </c>
      <c r="J4" s="96" t="s">
        <v>131</v>
      </c>
      <c r="K4" s="244"/>
      <c r="L4" s="244"/>
    </row>
    <row r="5" spans="2:12" s="96" customFormat="1" ht="21" customHeight="1">
      <c r="B5" s="86" t="s">
        <v>133</v>
      </c>
      <c r="C5" s="87"/>
      <c r="D5" s="287">
        <f>+VLOOKUP(B5,[3]Flujo!$B:$E,3,0)</f>
        <v>0</v>
      </c>
      <c r="E5" s="287">
        <f>+VLOOKUP(B5,[3]Flujo!$B:$E,4,0)</f>
        <v>0</v>
      </c>
      <c r="F5" s="95"/>
      <c r="G5" s="250">
        <f t="shared" ref="G5:G61" si="0">ROUND(+(D5-E5),0)</f>
        <v>0</v>
      </c>
      <c r="H5" s="280"/>
      <c r="J5" s="96" t="s">
        <v>133</v>
      </c>
    </row>
    <row r="6" spans="2:12" s="96" customFormat="1" ht="21" customHeight="1">
      <c r="B6" s="86" t="s">
        <v>132</v>
      </c>
      <c r="C6" s="87"/>
      <c r="D6" s="287">
        <f>+VLOOKUP(B6,[3]Flujo!$B:$E,3,0)</f>
        <v>0</v>
      </c>
      <c r="E6" s="287">
        <f>+VLOOKUP(B6,[3]Flujo!$B:$E,4,0)</f>
        <v>0</v>
      </c>
      <c r="F6" s="95"/>
      <c r="G6" s="250">
        <f t="shared" si="0"/>
        <v>0</v>
      </c>
      <c r="H6" s="280"/>
      <c r="J6" s="96" t="s">
        <v>132</v>
      </c>
    </row>
    <row r="7" spans="2:12" s="96" customFormat="1" ht="21" customHeight="1">
      <c r="B7" s="86" t="s">
        <v>134</v>
      </c>
      <c r="C7" s="87"/>
      <c r="D7" s="287">
        <f>+VLOOKUP(B7,[3]Flujo!$B:$E,3,0)</f>
        <v>0</v>
      </c>
      <c r="E7" s="287">
        <f>+VLOOKUP(B7,[3]Flujo!$B:$E,4,0)</f>
        <v>0</v>
      </c>
      <c r="F7" s="95"/>
      <c r="G7" s="250">
        <f t="shared" si="0"/>
        <v>0</v>
      </c>
      <c r="H7" s="280">
        <f t="shared" ref="H7:H63" si="1">+IFERROR(G7/E7,1)</f>
        <v>1</v>
      </c>
      <c r="J7" s="96" t="s">
        <v>134</v>
      </c>
      <c r="K7" s="244"/>
      <c r="L7" s="244"/>
    </row>
    <row r="8" spans="2:12" s="96" customFormat="1" ht="21" customHeight="1">
      <c r="B8" s="86" t="s">
        <v>135</v>
      </c>
      <c r="C8" s="87"/>
      <c r="D8" s="287">
        <f>+VLOOKUP(B8,[3]Flujo!$B:$E,3,0)</f>
        <v>501929</v>
      </c>
      <c r="E8" s="287">
        <f>+VLOOKUP(B8,[3]Flujo!$B:$E,4,0)</f>
        <v>2092287</v>
      </c>
      <c r="F8" s="95"/>
      <c r="G8" s="250">
        <f t="shared" si="0"/>
        <v>-1590358</v>
      </c>
      <c r="H8" s="280">
        <f t="shared" si="1"/>
        <v>-0.76010509074519894</v>
      </c>
      <c r="J8" s="96" t="s">
        <v>135</v>
      </c>
      <c r="K8" s="244"/>
      <c r="L8" s="244"/>
    </row>
    <row r="9" spans="2:12" s="96" customFormat="1" ht="21" customHeight="1">
      <c r="B9" s="88" t="s">
        <v>362</v>
      </c>
      <c r="C9" s="87"/>
      <c r="D9" s="287">
        <f>+VLOOKUP(B9,[3]Flujo!$B:$E,3,0)</f>
        <v>222129895</v>
      </c>
      <c r="E9" s="287">
        <f>+VLOOKUP(B9,[3]Flujo!$B:$E,4,0)</f>
        <v>211575618</v>
      </c>
      <c r="F9" s="95"/>
      <c r="G9" s="251">
        <f t="shared" si="0"/>
        <v>10554277</v>
      </c>
      <c r="H9" s="282">
        <f t="shared" si="1"/>
        <v>4.9884183724799518E-2</v>
      </c>
      <c r="J9" s="96" t="s">
        <v>362</v>
      </c>
      <c r="K9" s="244"/>
      <c r="L9" s="244"/>
    </row>
    <row r="10" spans="2:12" s="96" customFormat="1" ht="21" customHeight="1">
      <c r="B10" s="86" t="s">
        <v>136</v>
      </c>
      <c r="C10" s="87"/>
      <c r="D10" s="287">
        <f>+VLOOKUP(B10,[3]Flujo!$B:$E,3,0)</f>
        <v>-80168216</v>
      </c>
      <c r="E10" s="287">
        <f>+VLOOKUP(B10,[3]Flujo!$B:$E,4,0)</f>
        <v>-80782172</v>
      </c>
      <c r="F10" s="95"/>
      <c r="G10" s="331">
        <f t="shared" si="0"/>
        <v>613956</v>
      </c>
      <c r="H10" s="280">
        <f t="shared" si="1"/>
        <v>-7.600142269014505E-3</v>
      </c>
      <c r="J10" s="96" t="s">
        <v>136</v>
      </c>
      <c r="K10" s="244"/>
      <c r="L10" s="244"/>
    </row>
    <row r="11" spans="2:12" s="96" customFormat="1" ht="21" customHeight="1">
      <c r="B11" s="86" t="s">
        <v>137</v>
      </c>
      <c r="C11" s="87"/>
      <c r="D11" s="287">
        <f>+VLOOKUP(B11,[3]Flujo!$B:$E,3,0)</f>
        <v>0</v>
      </c>
      <c r="E11" s="287">
        <f>+VLOOKUP(B11,[3]Flujo!$B:$E,4,0)</f>
        <v>0</v>
      </c>
      <c r="F11" s="95"/>
      <c r="G11" s="250">
        <f t="shared" si="0"/>
        <v>0</v>
      </c>
      <c r="H11" s="280">
        <f t="shared" si="1"/>
        <v>1</v>
      </c>
      <c r="J11" s="96" t="s">
        <v>137</v>
      </c>
      <c r="K11" s="244"/>
      <c r="L11" s="244"/>
    </row>
    <row r="12" spans="2:12" s="96" customFormat="1" ht="21" customHeight="1">
      <c r="B12" s="86" t="s">
        <v>138</v>
      </c>
      <c r="C12" s="89"/>
      <c r="D12" s="287">
        <f>+VLOOKUP(B12,[3]Flujo!$B:$E,3,0)</f>
        <v>-24830160</v>
      </c>
      <c r="E12" s="287">
        <f>+VLOOKUP(B12,[3]Flujo!$B:$E,4,0)</f>
        <v>-22815603</v>
      </c>
      <c r="F12" s="95"/>
      <c r="G12" s="250">
        <f t="shared" si="0"/>
        <v>-2014557</v>
      </c>
      <c r="H12" s="280">
        <f t="shared" si="1"/>
        <v>8.8297337572011581E-2</v>
      </c>
      <c r="J12" s="96" t="s">
        <v>138</v>
      </c>
      <c r="K12" s="244"/>
      <c r="L12" s="244"/>
    </row>
    <row r="13" spans="2:12" s="96" customFormat="1" ht="21" customHeight="1">
      <c r="B13" s="86" t="s">
        <v>139</v>
      </c>
      <c r="C13" s="87"/>
      <c r="D13" s="287">
        <f>+VLOOKUP(B13,[3]Flujo!$B:$E,3,0)</f>
        <v>0</v>
      </c>
      <c r="E13" s="287">
        <f>+VLOOKUP(B13,[3]Flujo!$B:$E,4,0)</f>
        <v>0</v>
      </c>
      <c r="F13" s="95"/>
      <c r="G13" s="331">
        <f>ROUND(+(D13-E13),0)</f>
        <v>0</v>
      </c>
      <c r="H13" s="280">
        <f t="shared" si="1"/>
        <v>1</v>
      </c>
      <c r="J13" s="96" t="s">
        <v>139</v>
      </c>
      <c r="K13" s="244"/>
      <c r="L13" s="244"/>
    </row>
    <row r="14" spans="2:12" s="96" customFormat="1" ht="21" customHeight="1">
      <c r="B14" s="86" t="s">
        <v>140</v>
      </c>
      <c r="C14" s="87"/>
      <c r="D14" s="287">
        <f>+VLOOKUP(B14,[3]Flujo!$B:$E,3,0)</f>
        <v>-21124239</v>
      </c>
      <c r="E14" s="287">
        <f>+VLOOKUP(B14,[3]Flujo!$B:$E,4,0)</f>
        <v>-15874983</v>
      </c>
      <c r="F14" s="95"/>
      <c r="G14" s="250">
        <f t="shared" si="0"/>
        <v>-5249256</v>
      </c>
      <c r="H14" s="280">
        <f t="shared" si="1"/>
        <v>0.33066214937049065</v>
      </c>
      <c r="I14" s="96" t="s">
        <v>303</v>
      </c>
      <c r="J14" s="96" t="s">
        <v>140</v>
      </c>
      <c r="K14" s="244"/>
      <c r="L14" s="244"/>
    </row>
    <row r="15" spans="2:12" s="96" customFormat="1" ht="21" customHeight="1">
      <c r="B15" s="88" t="s">
        <v>220</v>
      </c>
      <c r="C15" s="87"/>
      <c r="D15" s="287">
        <f>+VLOOKUP(B15,[3]Flujo!$B:$E,3,0)</f>
        <v>-126122615</v>
      </c>
      <c r="E15" s="287">
        <f>+VLOOKUP(B15,[3]Flujo!$B:$E,4,0)</f>
        <v>-119472758</v>
      </c>
      <c r="F15" s="95"/>
      <c r="G15" s="251">
        <f t="shared" si="0"/>
        <v>-6649857</v>
      </c>
      <c r="H15" s="282">
        <f t="shared" si="1"/>
        <v>5.5660027535314786E-2</v>
      </c>
      <c r="J15" s="96" t="s">
        <v>220</v>
      </c>
      <c r="K15" s="244"/>
      <c r="L15" s="244"/>
    </row>
    <row r="16" spans="2:12" s="96" customFormat="1" ht="21" customHeight="1">
      <c r="B16" s="86" t="s">
        <v>141</v>
      </c>
      <c r="C16" s="87"/>
      <c r="D16" s="287">
        <f>+VLOOKUP(B16,[3]Flujo!$B:$E,3,0)</f>
        <v>0</v>
      </c>
      <c r="E16" s="287">
        <f>+VLOOKUP(B16,[3]Flujo!$B:$E,4,0)</f>
        <v>0</v>
      </c>
      <c r="F16" s="95"/>
      <c r="G16" s="250"/>
      <c r="H16" s="280">
        <f t="shared" si="1"/>
        <v>1</v>
      </c>
      <c r="J16" s="96" t="s">
        <v>141</v>
      </c>
      <c r="K16" s="244"/>
      <c r="L16" s="244"/>
    </row>
    <row r="17" spans="2:12" s="96" customFormat="1" ht="21" customHeight="1">
      <c r="B17" s="86" t="s">
        <v>142</v>
      </c>
      <c r="C17" s="87"/>
      <c r="D17" s="287">
        <f>+VLOOKUP(B17,[3]Flujo!$B:$E,3,0)</f>
        <v>0</v>
      </c>
      <c r="E17" s="287">
        <f>+VLOOKUP(B17,[3]Flujo!$B:$E,4,0)</f>
        <v>0</v>
      </c>
      <c r="F17" s="95"/>
      <c r="G17" s="250"/>
      <c r="H17" s="280">
        <f t="shared" si="1"/>
        <v>1</v>
      </c>
      <c r="J17" s="96" t="s">
        <v>142</v>
      </c>
      <c r="K17" s="244"/>
      <c r="L17" s="244"/>
    </row>
    <row r="18" spans="2:12" s="96" customFormat="1" ht="21" customHeight="1">
      <c r="B18" s="86" t="s">
        <v>143</v>
      </c>
      <c r="C18" s="87"/>
      <c r="D18" s="287">
        <f>+VLOOKUP(B18,[3]Flujo!$B:$E,3,0)</f>
        <v>0</v>
      </c>
      <c r="E18" s="287">
        <f>+VLOOKUP(B18,[3]Flujo!$B:$E,4,0)</f>
        <v>0</v>
      </c>
      <c r="F18" s="95"/>
      <c r="G18" s="331">
        <f t="shared" si="0"/>
        <v>0</v>
      </c>
      <c r="H18" s="280">
        <f t="shared" si="1"/>
        <v>1</v>
      </c>
      <c r="J18" s="96" t="s">
        <v>143</v>
      </c>
      <c r="K18" s="244"/>
      <c r="L18" s="244"/>
    </row>
    <row r="19" spans="2:12" s="96" customFormat="1" ht="21" customHeight="1">
      <c r="B19" s="86" t="s">
        <v>144</v>
      </c>
      <c r="C19" s="87"/>
      <c r="D19" s="287">
        <f>+VLOOKUP(B19,[3]Flujo!$B:$E,3,0)</f>
        <v>0</v>
      </c>
      <c r="E19" s="287">
        <f>+VLOOKUP(B19,[3]Flujo!$B:$E,4,0)</f>
        <v>0</v>
      </c>
      <c r="F19" s="95"/>
      <c r="G19" s="250">
        <f t="shared" si="0"/>
        <v>0</v>
      </c>
      <c r="H19" s="280">
        <f t="shared" si="1"/>
        <v>1</v>
      </c>
      <c r="I19" s="96" t="s">
        <v>307</v>
      </c>
      <c r="J19" s="96" t="s">
        <v>144</v>
      </c>
      <c r="K19" s="244"/>
      <c r="L19" s="244"/>
    </row>
    <row r="20" spans="2:12" s="96" customFormat="1" ht="21" customHeight="1">
      <c r="B20" s="86" t="s">
        <v>327</v>
      </c>
      <c r="C20" s="87"/>
      <c r="D20" s="287">
        <f>+VLOOKUP(B20,[3]Flujo!$B:$E,3,0)</f>
        <v>-9855915</v>
      </c>
      <c r="E20" s="287">
        <f>+VLOOKUP(B20,[3]Flujo!$B:$E,4,0)</f>
        <v>-13225213</v>
      </c>
      <c r="F20" s="95"/>
      <c r="G20" s="331">
        <f t="shared" si="0"/>
        <v>3369298</v>
      </c>
      <c r="H20" s="280">
        <f t="shared" si="1"/>
        <v>-0.2547632314126056</v>
      </c>
      <c r="J20" s="96" t="s">
        <v>327</v>
      </c>
      <c r="K20" s="244"/>
      <c r="L20" s="244"/>
    </row>
    <row r="21" spans="2:12" s="96" customFormat="1" ht="21" customHeight="1" thickBot="1">
      <c r="B21" s="86" t="s">
        <v>162</v>
      </c>
      <c r="C21" s="87"/>
      <c r="D21" s="287">
        <f>+VLOOKUP(B21,[3]Flujo!$B:$E,3,0)</f>
        <v>-9266518</v>
      </c>
      <c r="E21" s="287">
        <f>+VLOOKUP(B21,[3]Flujo!$B:$E,4,0)</f>
        <v>-11225862</v>
      </c>
      <c r="F21" s="95"/>
      <c r="G21" s="250">
        <f t="shared" si="0"/>
        <v>1959344</v>
      </c>
      <c r="H21" s="280">
        <f t="shared" si="1"/>
        <v>-0.17453840070366089</v>
      </c>
      <c r="J21" s="96" t="s">
        <v>162</v>
      </c>
      <c r="K21" s="244"/>
      <c r="L21" s="244"/>
    </row>
    <row r="22" spans="2:12" s="96" customFormat="1" ht="21" customHeight="1" thickBot="1">
      <c r="B22" s="98" t="s">
        <v>294</v>
      </c>
      <c r="C22" s="99"/>
      <c r="D22" s="289">
        <f>+D9+D15+SUM(D16:D21)</f>
        <v>76884847</v>
      </c>
      <c r="E22" s="289">
        <f>+E9+E15+SUM(E16:E21)</f>
        <v>67651785</v>
      </c>
      <c r="F22" s="95"/>
      <c r="G22" s="272">
        <f>ROUND(+(D22-E22),0)</f>
        <v>9233062</v>
      </c>
      <c r="H22" s="283">
        <f t="shared" si="1"/>
        <v>0.13647920745919712</v>
      </c>
      <c r="K22" s="244"/>
      <c r="L22" s="244"/>
    </row>
    <row r="23" spans="2:12" s="96" customFormat="1" ht="21" customHeight="1">
      <c r="B23" s="97" t="s">
        <v>145</v>
      </c>
      <c r="C23" s="94"/>
      <c r="D23" s="287">
        <f>+VLOOKUP(B23,[3]Flujo!$B$23:$E$48,3,0)</f>
        <v>0</v>
      </c>
      <c r="E23" s="287">
        <f>+VLOOKUP(B23,[3]Flujo!$B$23:$E$48,4,0)</f>
        <v>0</v>
      </c>
      <c r="F23" s="95"/>
      <c r="G23" s="250">
        <f t="shared" si="0"/>
        <v>0</v>
      </c>
      <c r="H23" s="280">
        <f t="shared" si="1"/>
        <v>1</v>
      </c>
      <c r="K23" s="244"/>
      <c r="L23" s="244"/>
    </row>
    <row r="24" spans="2:12" s="96" customFormat="1" ht="21" customHeight="1">
      <c r="B24" s="97" t="s">
        <v>146</v>
      </c>
      <c r="C24" s="94"/>
      <c r="D24" s="287">
        <f>+VLOOKUP(B24,[3]Flujo!$B$23:$E$48,3,0)</f>
        <v>0</v>
      </c>
      <c r="E24" s="287">
        <f>+VLOOKUP(B24,[3]Flujo!$B$23:$E$48,4,0)</f>
        <v>0</v>
      </c>
      <c r="F24" s="95"/>
      <c r="G24" s="250">
        <f t="shared" si="0"/>
        <v>0</v>
      </c>
      <c r="H24" s="280">
        <f t="shared" si="1"/>
        <v>1</v>
      </c>
      <c r="K24" s="244"/>
      <c r="L24" s="244"/>
    </row>
    <row r="25" spans="2:12" s="96" customFormat="1" ht="21" customHeight="1">
      <c r="B25" s="97" t="s">
        <v>147</v>
      </c>
      <c r="C25" s="94"/>
      <c r="D25" s="287">
        <f>+VLOOKUP(B25,[3]Flujo!$B$23:$E$48,3,0)</f>
        <v>0</v>
      </c>
      <c r="E25" s="287">
        <f>+VLOOKUP(B25,[3]Flujo!$B$23:$E$48,4,0)</f>
        <v>0</v>
      </c>
      <c r="F25" s="95"/>
      <c r="G25" s="250">
        <f t="shared" si="0"/>
        <v>0</v>
      </c>
      <c r="H25" s="280">
        <f t="shared" si="1"/>
        <v>1</v>
      </c>
      <c r="K25" s="244"/>
      <c r="L25" s="244"/>
    </row>
    <row r="26" spans="2:12" s="96" customFormat="1" ht="21" customHeight="1">
      <c r="B26" s="97" t="s">
        <v>148</v>
      </c>
      <c r="C26" s="94"/>
      <c r="D26" s="287">
        <f>+VLOOKUP(B26,[3]Flujo!$B$23:$E$48,3,0)</f>
        <v>0</v>
      </c>
      <c r="E26" s="287">
        <f>+VLOOKUP(B26,[3]Flujo!$B$23:$E$48,4,0)</f>
        <v>0</v>
      </c>
      <c r="F26" s="95"/>
      <c r="G26" s="250">
        <f t="shared" si="0"/>
        <v>0</v>
      </c>
      <c r="H26" s="280">
        <f t="shared" si="1"/>
        <v>1</v>
      </c>
      <c r="K26" s="244"/>
      <c r="L26" s="244"/>
    </row>
    <row r="27" spans="2:12" s="96" customFormat="1" ht="21" customHeight="1">
      <c r="B27" s="97" t="s">
        <v>149</v>
      </c>
      <c r="C27" s="94"/>
      <c r="D27" s="287">
        <f>+VLOOKUP(B27,[3]Flujo!$B$23:$E$48,3,0)</f>
        <v>0</v>
      </c>
      <c r="E27" s="287">
        <f>+VLOOKUP(B27,[3]Flujo!$B$23:$E$48,4,0)</f>
        <v>0</v>
      </c>
      <c r="F27" s="95"/>
      <c r="G27" s="250">
        <f t="shared" si="0"/>
        <v>0</v>
      </c>
      <c r="H27" s="280">
        <f t="shared" si="1"/>
        <v>1</v>
      </c>
      <c r="K27" s="244"/>
      <c r="L27" s="244"/>
    </row>
    <row r="28" spans="2:12" s="96" customFormat="1" ht="21" customHeight="1">
      <c r="B28" s="97" t="s">
        <v>150</v>
      </c>
      <c r="C28" s="94"/>
      <c r="D28" s="287">
        <f>+VLOOKUP(B28,[3]Flujo!$B$23:$E$48,3,0)</f>
        <v>0</v>
      </c>
      <c r="E28" s="287">
        <f>+VLOOKUP(B28,[3]Flujo!$B$23:$E$48,4,0)</f>
        <v>0</v>
      </c>
      <c r="F28" s="95"/>
      <c r="G28" s="250">
        <f t="shared" si="0"/>
        <v>0</v>
      </c>
      <c r="H28" s="280">
        <f t="shared" si="1"/>
        <v>1</v>
      </c>
      <c r="K28" s="244"/>
      <c r="L28" s="244"/>
    </row>
    <row r="29" spans="2:12" s="96" customFormat="1" ht="21" customHeight="1">
      <c r="B29" s="97" t="s">
        <v>151</v>
      </c>
      <c r="C29" s="94"/>
      <c r="D29" s="287">
        <f>+VLOOKUP(B29,[3]Flujo!$B$23:$E$48,3,0)</f>
        <v>0</v>
      </c>
      <c r="E29" s="287">
        <f>+VLOOKUP(B29,[3]Flujo!$B$23:$E$48,4,0)</f>
        <v>0</v>
      </c>
      <c r="F29" s="95"/>
      <c r="G29" s="250">
        <f t="shared" si="0"/>
        <v>0</v>
      </c>
      <c r="H29" s="280">
        <f t="shared" si="1"/>
        <v>1</v>
      </c>
      <c r="K29" s="244"/>
      <c r="L29" s="244"/>
    </row>
    <row r="30" spans="2:12" s="96" customFormat="1" ht="21" customHeight="1">
      <c r="B30" s="97" t="s">
        <v>152</v>
      </c>
      <c r="C30" s="94"/>
      <c r="D30" s="287">
        <f>+VLOOKUP(B30,[3]Flujo!$B$23:$E$48,3,0)</f>
        <v>0</v>
      </c>
      <c r="E30" s="287">
        <f>+VLOOKUP(B30,[3]Flujo!$B$23:$E$48,4,0)</f>
        <v>0</v>
      </c>
      <c r="F30" s="95"/>
      <c r="G30" s="250">
        <f t="shared" si="0"/>
        <v>0</v>
      </c>
      <c r="H30" s="280">
        <f t="shared" si="1"/>
        <v>1</v>
      </c>
      <c r="K30" s="244"/>
      <c r="L30" s="244"/>
    </row>
    <row r="31" spans="2:12" s="96" customFormat="1" ht="21" customHeight="1">
      <c r="B31" s="97" t="s">
        <v>285</v>
      </c>
      <c r="C31" s="94"/>
      <c r="D31" s="287">
        <f>+VLOOKUP(B31,[3]Flujo!$B$23:$E$48,3,0)</f>
        <v>0</v>
      </c>
      <c r="E31" s="287">
        <f>+VLOOKUP(B31,[3]Flujo!$B$23:$E$48,4,0)</f>
        <v>4032104</v>
      </c>
      <c r="F31" s="95"/>
      <c r="G31" s="250">
        <f t="shared" si="0"/>
        <v>-4032104</v>
      </c>
      <c r="H31" s="280">
        <f t="shared" si="1"/>
        <v>-1</v>
      </c>
      <c r="K31" s="244"/>
      <c r="L31" s="244"/>
    </row>
    <row r="32" spans="2:12" s="96" customFormat="1" ht="21" customHeight="1">
      <c r="B32" s="97" t="s">
        <v>153</v>
      </c>
      <c r="C32" s="94"/>
      <c r="D32" s="287">
        <f>+VLOOKUP(B32,[3]Flujo!$B$23:$E$48,3,0)</f>
        <v>-45310234</v>
      </c>
      <c r="E32" s="287">
        <f>+VLOOKUP(B32,[3]Flujo!$B$23:$E$48,4,0)</f>
        <v>-65061543</v>
      </c>
      <c r="F32" s="95"/>
      <c r="G32" s="250">
        <f t="shared" si="0"/>
        <v>19751309</v>
      </c>
      <c r="H32" s="280">
        <f t="shared" si="1"/>
        <v>-0.30357885917338295</v>
      </c>
      <c r="K32" s="244"/>
      <c r="L32" s="244"/>
    </row>
    <row r="33" spans="2:12" s="96" customFormat="1" ht="21" customHeight="1">
      <c r="B33" s="97" t="s">
        <v>232</v>
      </c>
      <c r="C33" s="94"/>
      <c r="D33" s="287">
        <f>+VLOOKUP(B33,[3]Flujo!$B$23:$E$48,3,0)</f>
        <v>0</v>
      </c>
      <c r="E33" s="287">
        <f>+VLOOKUP(B33,[3]Flujo!$B$23:$E$48,4,0)</f>
        <v>0</v>
      </c>
      <c r="F33" s="95"/>
      <c r="G33" s="250">
        <f t="shared" si="0"/>
        <v>0</v>
      </c>
      <c r="H33" s="280">
        <f t="shared" si="1"/>
        <v>1</v>
      </c>
      <c r="K33" s="244"/>
      <c r="L33" s="244"/>
    </row>
    <row r="34" spans="2:12" s="96" customFormat="1" ht="21" customHeight="1">
      <c r="B34" s="97" t="s">
        <v>154</v>
      </c>
      <c r="C34" s="94"/>
      <c r="D34" s="287">
        <f>+VLOOKUP(B34,[3]Flujo!$B$23:$E$48,3,0)</f>
        <v>-1627623</v>
      </c>
      <c r="E34" s="287">
        <f>+VLOOKUP(B34,[3]Flujo!$B$23:$E$48,4,0)</f>
        <v>-1218488</v>
      </c>
      <c r="F34" s="95"/>
      <c r="G34" s="250">
        <f t="shared" si="0"/>
        <v>-409135</v>
      </c>
      <c r="H34" s="280">
        <f t="shared" si="1"/>
        <v>0.33577269534045473</v>
      </c>
      <c r="K34" s="244"/>
      <c r="L34" s="244"/>
    </row>
    <row r="35" spans="2:12" s="96" customFormat="1" ht="21" customHeight="1">
      <c r="B35" s="97" t="s">
        <v>221</v>
      </c>
      <c r="C35" s="94"/>
      <c r="D35" s="287">
        <f>+VLOOKUP(B35,[3]Flujo!$B$23:$E$48,3,0)</f>
        <v>0</v>
      </c>
      <c r="E35" s="287">
        <f>+VLOOKUP(B35,[3]Flujo!$B$23:$E$48,4,0)</f>
        <v>0</v>
      </c>
      <c r="F35" s="95"/>
      <c r="G35" s="250">
        <f t="shared" si="0"/>
        <v>0</v>
      </c>
      <c r="H35" s="280">
        <f t="shared" si="1"/>
        <v>1</v>
      </c>
      <c r="K35" s="244"/>
      <c r="L35" s="244"/>
    </row>
    <row r="36" spans="2:12" s="96" customFormat="1" ht="21" customHeight="1">
      <c r="B36" s="97" t="s">
        <v>155</v>
      </c>
      <c r="C36" s="94"/>
      <c r="D36" s="287">
        <f>+VLOOKUP(B36,[3]Flujo!$B$23:$E$48,3,0)</f>
        <v>0</v>
      </c>
      <c r="E36" s="287">
        <f>+VLOOKUP(B36,[3]Flujo!$B$23:$E$48,4,0)</f>
        <v>0</v>
      </c>
      <c r="F36" s="95"/>
      <c r="G36" s="250">
        <f t="shared" si="0"/>
        <v>0</v>
      </c>
      <c r="H36" s="280">
        <f t="shared" si="1"/>
        <v>1</v>
      </c>
      <c r="K36" s="244"/>
      <c r="L36" s="244"/>
    </row>
    <row r="37" spans="2:12" s="96" customFormat="1" ht="21" customHeight="1">
      <c r="B37" s="97" t="s">
        <v>156</v>
      </c>
      <c r="C37" s="94"/>
      <c r="D37" s="287">
        <f>+VLOOKUP(B37,[3]Flujo!$B$23:$E$48,3,0)</f>
        <v>0</v>
      </c>
      <c r="E37" s="287">
        <f>+VLOOKUP(B37,[3]Flujo!$B$23:$E$48,4,0)</f>
        <v>0</v>
      </c>
      <c r="F37" s="95"/>
      <c r="G37" s="250">
        <f t="shared" si="0"/>
        <v>0</v>
      </c>
      <c r="H37" s="280">
        <f t="shared" si="1"/>
        <v>1</v>
      </c>
      <c r="K37" s="244"/>
      <c r="L37" s="244"/>
    </row>
    <row r="38" spans="2:12" s="96" customFormat="1" ht="21" customHeight="1">
      <c r="B38" s="97" t="s">
        <v>157</v>
      </c>
      <c r="C38" s="94"/>
      <c r="D38" s="287">
        <f>+VLOOKUP(B38,[3]Flujo!$B$23:$E$48,3,0)</f>
        <v>0</v>
      </c>
      <c r="E38" s="287">
        <f>+VLOOKUP(B38,[3]Flujo!$B$23:$E$48,4,0)</f>
        <v>0</v>
      </c>
      <c r="F38" s="95"/>
      <c r="G38" s="250">
        <f t="shared" si="0"/>
        <v>0</v>
      </c>
      <c r="H38" s="280">
        <f t="shared" si="1"/>
        <v>1</v>
      </c>
      <c r="K38" s="244"/>
      <c r="L38" s="244"/>
    </row>
    <row r="39" spans="2:12" s="96" customFormat="1" ht="21" customHeight="1">
      <c r="B39" s="97" t="s">
        <v>158</v>
      </c>
      <c r="C39" s="94"/>
      <c r="D39" s="287">
        <f>+VLOOKUP(B39,[3]Flujo!$B$23:$E$48,3,0)</f>
        <v>0</v>
      </c>
      <c r="E39" s="287">
        <f>+VLOOKUP(B39,[3]Flujo!$B$23:$E$48,4,0)</f>
        <v>0</v>
      </c>
      <c r="F39" s="95"/>
      <c r="G39" s="250">
        <f t="shared" si="0"/>
        <v>0</v>
      </c>
      <c r="H39" s="280">
        <f t="shared" si="1"/>
        <v>1</v>
      </c>
      <c r="K39" s="244"/>
      <c r="L39" s="244"/>
    </row>
    <row r="40" spans="2:12" s="96" customFormat="1" ht="21" customHeight="1">
      <c r="B40" s="97" t="s">
        <v>159</v>
      </c>
      <c r="C40" s="94"/>
      <c r="D40" s="287">
        <f>+VLOOKUP(B40,[3]Flujo!$B$23:$E$48,3,0)</f>
        <v>0</v>
      </c>
      <c r="E40" s="287">
        <f>+VLOOKUP(B40,[3]Flujo!$B$23:$E$48,4,0)</f>
        <v>0</v>
      </c>
      <c r="F40" s="95"/>
      <c r="G40" s="250">
        <f t="shared" si="0"/>
        <v>0</v>
      </c>
      <c r="H40" s="280">
        <f t="shared" si="1"/>
        <v>1</v>
      </c>
      <c r="K40" s="244"/>
      <c r="L40" s="244"/>
    </row>
    <row r="41" spans="2:12" s="96" customFormat="1" ht="21" customHeight="1">
      <c r="B41" s="97" t="s">
        <v>160</v>
      </c>
      <c r="C41" s="94"/>
      <c r="D41" s="287">
        <f>+VLOOKUP(B41,[3]Flujo!$B$23:$E$48,3,0)</f>
        <v>0</v>
      </c>
      <c r="E41" s="287">
        <f>+VLOOKUP(B41,[3]Flujo!$B$23:$E$48,4,0)</f>
        <v>0</v>
      </c>
      <c r="F41" s="95"/>
      <c r="G41" s="250">
        <f t="shared" si="0"/>
        <v>0</v>
      </c>
      <c r="H41" s="280">
        <f t="shared" si="1"/>
        <v>1</v>
      </c>
      <c r="K41" s="244"/>
      <c r="L41" s="244"/>
    </row>
    <row r="42" spans="2:12" s="96" customFormat="1" ht="21" customHeight="1">
      <c r="B42" s="97" t="s">
        <v>222</v>
      </c>
      <c r="C42" s="94"/>
      <c r="D42" s="287">
        <f>+VLOOKUP(B42,[3]Flujo!$B$23:$E$48,3,0)</f>
        <v>0</v>
      </c>
      <c r="E42" s="287">
        <f>+VLOOKUP(B42,[3]Flujo!$B$23:$E$48,4,0)</f>
        <v>0</v>
      </c>
      <c r="F42" s="95"/>
      <c r="G42" s="250">
        <f t="shared" si="0"/>
        <v>0</v>
      </c>
      <c r="H42" s="280">
        <f t="shared" si="1"/>
        <v>1</v>
      </c>
      <c r="K42" s="244"/>
      <c r="L42" s="244"/>
    </row>
    <row r="43" spans="2:12" s="96" customFormat="1" ht="21" customHeight="1">
      <c r="B43" s="97" t="s">
        <v>142</v>
      </c>
      <c r="C43" s="94"/>
      <c r="D43" s="287">
        <f>+VLOOKUP(B43,[3]Flujo!$B$23:$E$48,3,0)</f>
        <v>0</v>
      </c>
      <c r="E43" s="287">
        <f>+VLOOKUP(B43,[3]Flujo!$B$23:$E$48,4,0)</f>
        <v>0</v>
      </c>
      <c r="F43" s="95"/>
      <c r="G43" s="250">
        <f t="shared" si="0"/>
        <v>0</v>
      </c>
      <c r="H43" s="280">
        <f t="shared" si="1"/>
        <v>1</v>
      </c>
      <c r="K43" s="244"/>
      <c r="L43" s="244"/>
    </row>
    <row r="44" spans="2:12" s="96" customFormat="1" ht="21" customHeight="1">
      <c r="B44" s="97" t="s">
        <v>144</v>
      </c>
      <c r="C44" s="94"/>
      <c r="D44" s="287">
        <f>+VLOOKUP(B44,[3]Flujo!$B$23:$E$48,3,0)</f>
        <v>2314770</v>
      </c>
      <c r="E44" s="287">
        <f>+VLOOKUP(B44,[3]Flujo!$B$23:$E$48,4,0)</f>
        <v>1575023</v>
      </c>
      <c r="F44" s="95"/>
      <c r="G44" s="250">
        <f t="shared" si="0"/>
        <v>739747</v>
      </c>
      <c r="H44" s="280">
        <f t="shared" si="1"/>
        <v>0.46967377619247463</v>
      </c>
      <c r="K44" s="244"/>
      <c r="L44" s="244"/>
    </row>
    <row r="45" spans="2:12" s="96" customFormat="1" ht="21" customHeight="1">
      <c r="B45" s="97" t="s">
        <v>161</v>
      </c>
      <c r="C45" s="94"/>
      <c r="D45" s="287">
        <f>+VLOOKUP(B45,[3]Flujo!$B$23:$E$48,3,0)</f>
        <v>0</v>
      </c>
      <c r="E45" s="287">
        <f>+VLOOKUP(B45,[3]Flujo!$B$23:$E$48,4,0)</f>
        <v>0</v>
      </c>
      <c r="F45" s="95"/>
      <c r="G45" s="250">
        <f t="shared" si="0"/>
        <v>0</v>
      </c>
      <c r="H45" s="280">
        <f t="shared" si="1"/>
        <v>1</v>
      </c>
      <c r="K45" s="244"/>
      <c r="L45" s="244"/>
    </row>
    <row r="46" spans="2:12" s="96" customFormat="1" ht="21" customHeight="1" thickBot="1">
      <c r="B46" s="97" t="s">
        <v>162</v>
      </c>
      <c r="C46" s="94"/>
      <c r="D46" s="287">
        <f>+VLOOKUP(B46,[3]Flujo!$B$23:$E$48,3,0)</f>
        <v>0</v>
      </c>
      <c r="E46" s="287">
        <f>+VLOOKUP(B46,[3]Flujo!$B$23:$E$48,4,0)</f>
        <v>0</v>
      </c>
      <c r="F46" s="95"/>
      <c r="G46" s="250">
        <f t="shared" si="0"/>
        <v>0</v>
      </c>
      <c r="H46" s="280">
        <f t="shared" si="1"/>
        <v>1</v>
      </c>
      <c r="K46" s="244"/>
      <c r="L46" s="244"/>
    </row>
    <row r="47" spans="2:12" s="96" customFormat="1" ht="21" customHeight="1" thickBot="1">
      <c r="B47" s="98" t="s">
        <v>223</v>
      </c>
      <c r="C47" s="99"/>
      <c r="D47" s="289">
        <f>SUM(D23:D46)</f>
        <v>-44623087</v>
      </c>
      <c r="E47" s="289">
        <f>SUM(E23:E46)</f>
        <v>-60672904</v>
      </c>
      <c r="F47" s="95"/>
      <c r="G47" s="272">
        <f t="shared" si="0"/>
        <v>16049817</v>
      </c>
      <c r="H47" s="283">
        <f t="shared" si="1"/>
        <v>-0.2645302258813918</v>
      </c>
      <c r="I47" s="327">
        <f>+D47-E47</f>
        <v>16049817</v>
      </c>
      <c r="J47" s="96">
        <v>39575081</v>
      </c>
      <c r="K47" s="244"/>
      <c r="L47" s="244"/>
    </row>
    <row r="48" spans="2:12" s="96" customFormat="1" ht="21" customHeight="1">
      <c r="B48" s="97" t="s">
        <v>163</v>
      </c>
      <c r="C48" s="94"/>
      <c r="D48" s="287">
        <f>+VLOOKUP(B48,[3]Flujo!$B$48:$E$72,3,0)</f>
        <v>0</v>
      </c>
      <c r="E48" s="287">
        <f>+VLOOKUP(B48,[3]Flujo!$B$48:$E$72,4,0)</f>
        <v>0</v>
      </c>
      <c r="F48" s="95"/>
      <c r="G48" s="250">
        <f t="shared" si="0"/>
        <v>0</v>
      </c>
      <c r="H48" s="280">
        <f t="shared" si="1"/>
        <v>1</v>
      </c>
      <c r="K48" s="244"/>
      <c r="L48" s="244"/>
    </row>
    <row r="49" spans="2:12" s="96" customFormat="1" ht="21" customHeight="1">
      <c r="B49" s="97" t="s">
        <v>164</v>
      </c>
      <c r="C49" s="94"/>
      <c r="D49" s="287">
        <f>+VLOOKUP(B49,[3]Flujo!$B$48:$E$72,3,0)</f>
        <v>0</v>
      </c>
      <c r="E49" s="287">
        <f>+VLOOKUP(B49,[3]Flujo!$B$48:$E$72,4,0)</f>
        <v>0</v>
      </c>
      <c r="F49" s="95"/>
      <c r="G49" s="250">
        <f t="shared" si="0"/>
        <v>0</v>
      </c>
      <c r="H49" s="280">
        <f t="shared" si="1"/>
        <v>1</v>
      </c>
      <c r="K49" s="244"/>
      <c r="L49" s="244"/>
    </row>
    <row r="50" spans="2:12" s="96" customFormat="1" ht="21" customHeight="1">
      <c r="B50" s="97" t="s">
        <v>165</v>
      </c>
      <c r="C50" s="94"/>
      <c r="D50" s="287">
        <f>+VLOOKUP(B50,[3]Flujo!$B$48:$E$72,3,0)</f>
        <v>0</v>
      </c>
      <c r="E50" s="287">
        <f>+VLOOKUP(B50,[3]Flujo!$B$48:$E$72,4,0)</f>
        <v>0</v>
      </c>
      <c r="F50" s="95"/>
      <c r="G50" s="250">
        <f t="shared" si="0"/>
        <v>0</v>
      </c>
      <c r="H50" s="280">
        <f t="shared" si="1"/>
        <v>1</v>
      </c>
      <c r="K50" s="244"/>
      <c r="L50" s="244"/>
    </row>
    <row r="51" spans="2:12" s="96" customFormat="1" ht="21" customHeight="1">
      <c r="B51" s="97" t="s">
        <v>166</v>
      </c>
      <c r="C51" s="94"/>
      <c r="D51" s="287">
        <f>+VLOOKUP(B51,[3]Flujo!$B$48:$E$72,3,0)</f>
        <v>0</v>
      </c>
      <c r="E51" s="287">
        <f>+VLOOKUP(B51,[3]Flujo!$B$48:$E$72,4,0)</f>
        <v>0</v>
      </c>
      <c r="F51" s="95"/>
      <c r="G51" s="250">
        <f t="shared" si="0"/>
        <v>0</v>
      </c>
      <c r="H51" s="280">
        <f t="shared" si="1"/>
        <v>1</v>
      </c>
      <c r="K51" s="244"/>
      <c r="L51" s="244"/>
    </row>
    <row r="52" spans="2:12" s="96" customFormat="1" ht="21" customHeight="1">
      <c r="B52" s="97" t="s">
        <v>167</v>
      </c>
      <c r="C52" s="94"/>
      <c r="D52" s="287">
        <f>+VLOOKUP(B52,[3]Flujo!$B$48:$E$72,3,0)</f>
        <v>163583437</v>
      </c>
      <c r="E52" s="287">
        <f>+VLOOKUP(B52,[3]Flujo!$B$48:$E$72,4,0)</f>
        <v>2771336</v>
      </c>
      <c r="F52" s="95"/>
      <c r="G52" s="250">
        <f t="shared" si="0"/>
        <v>160812101</v>
      </c>
      <c r="H52" s="280">
        <f t="shared" si="1"/>
        <v>58.026923115782424</v>
      </c>
      <c r="J52" s="96">
        <v>39602985</v>
      </c>
      <c r="K52" s="244" t="s">
        <v>304</v>
      </c>
      <c r="L52" s="244"/>
    </row>
    <row r="53" spans="2:12" s="96" customFormat="1" ht="21" customHeight="1">
      <c r="B53" s="97" t="s">
        <v>168</v>
      </c>
      <c r="C53" s="94"/>
      <c r="D53" s="287">
        <f>+VLOOKUP(B53,[3]Flujo!$B$48:$E$72,3,0)</f>
        <v>0</v>
      </c>
      <c r="E53" s="287">
        <f>+VLOOKUP(B53,[3]Flujo!$B$48:$E$72,4,0)</f>
        <v>0</v>
      </c>
      <c r="F53" s="95"/>
      <c r="G53" s="250">
        <f t="shared" si="0"/>
        <v>0</v>
      </c>
      <c r="H53" s="280">
        <f t="shared" si="1"/>
        <v>1</v>
      </c>
      <c r="J53" s="96">
        <f>+J47-J52</f>
        <v>-27904</v>
      </c>
      <c r="K53" s="244"/>
      <c r="L53" s="244"/>
    </row>
    <row r="54" spans="2:12" s="96" customFormat="1" ht="21" customHeight="1">
      <c r="B54" s="242" t="s">
        <v>295</v>
      </c>
      <c r="C54" s="94"/>
      <c r="D54" s="288">
        <f>+SUM(D48:D53)</f>
        <v>163583437</v>
      </c>
      <c r="E54" s="288">
        <f>+SUM(E48:E53)</f>
        <v>2771336</v>
      </c>
      <c r="F54" s="95"/>
      <c r="G54" s="251">
        <f t="shared" si="0"/>
        <v>160812101</v>
      </c>
      <c r="H54" s="284">
        <f t="shared" si="1"/>
        <v>58.026923115782424</v>
      </c>
      <c r="J54" s="325">
        <v>3182087735</v>
      </c>
      <c r="K54" s="326"/>
      <c r="L54" s="244"/>
    </row>
    <row r="55" spans="2:12" s="96" customFormat="1" ht="21" customHeight="1">
      <c r="B55" s="97" t="s">
        <v>169</v>
      </c>
      <c r="C55" s="94"/>
      <c r="D55" s="287">
        <f>+VLOOKUP(B55,[3]Flujo!$B$48:$E$72,3,0)</f>
        <v>0</v>
      </c>
      <c r="E55" s="287">
        <f>+VLOOKUP(B55,[3]Flujo!$B$48:$E$72,4,0)</f>
        <v>0</v>
      </c>
      <c r="F55" s="95"/>
      <c r="G55" s="250">
        <f t="shared" si="0"/>
        <v>0</v>
      </c>
      <c r="H55" s="280">
        <f t="shared" si="1"/>
        <v>1</v>
      </c>
      <c r="J55" s="325"/>
      <c r="K55" s="326"/>
      <c r="L55" s="244"/>
    </row>
    <row r="56" spans="2:12" s="96" customFormat="1" ht="21" customHeight="1">
      <c r="B56" s="97" t="s">
        <v>224</v>
      </c>
      <c r="C56" s="94"/>
      <c r="D56" s="287">
        <f>+VLOOKUP(B56,[3]Flujo!$B$48:$E$72,3,0)</f>
        <v>-75429259</v>
      </c>
      <c r="E56" s="287">
        <f>+VLOOKUP(B56,[3]Flujo!$B$48:$E$72,4,0)</f>
        <v>-16127161</v>
      </c>
      <c r="F56" s="95"/>
      <c r="G56" s="250">
        <f t="shared" si="0"/>
        <v>-59302098</v>
      </c>
      <c r="H56" s="281">
        <f t="shared" si="1"/>
        <v>3.6771566923651346</v>
      </c>
      <c r="J56" s="325">
        <v>5298882643</v>
      </c>
      <c r="K56" s="326" t="s">
        <v>305</v>
      </c>
      <c r="L56" s="244"/>
    </row>
    <row r="57" spans="2:12" s="96" customFormat="1" ht="21" customHeight="1">
      <c r="B57" s="97" t="s">
        <v>170</v>
      </c>
      <c r="C57" s="94"/>
      <c r="D57" s="287">
        <f>+VLOOKUP(B57,[3]Flujo!$B$48:$E$72,3,0)</f>
        <v>0</v>
      </c>
      <c r="E57" s="287">
        <f>+VLOOKUP(B57,[3]Flujo!$B$48:$E$72,4,0)</f>
        <v>0</v>
      </c>
      <c r="F57" s="95"/>
      <c r="G57" s="250">
        <f t="shared" si="0"/>
        <v>0</v>
      </c>
      <c r="H57" s="281">
        <f t="shared" si="1"/>
        <v>1</v>
      </c>
      <c r="K57" s="244"/>
      <c r="L57" s="244"/>
    </row>
    <row r="58" spans="2:12" s="96" customFormat="1" ht="21" customHeight="1">
      <c r="B58" s="97" t="s">
        <v>171</v>
      </c>
      <c r="C58" s="94"/>
      <c r="D58" s="287">
        <f>+VLOOKUP(B58,[3]Flujo!$B$48:$E$72,3,0)</f>
        <v>0</v>
      </c>
      <c r="E58" s="287">
        <f>+VLOOKUP(B58,[3]Flujo!$B$48:$E$72,4,0)</f>
        <v>0</v>
      </c>
      <c r="F58" s="95"/>
      <c r="G58" s="250">
        <f t="shared" si="0"/>
        <v>0</v>
      </c>
      <c r="H58" s="281">
        <f t="shared" si="1"/>
        <v>1</v>
      </c>
      <c r="K58" s="244"/>
      <c r="L58" s="244"/>
    </row>
    <row r="59" spans="2:12" s="96" customFormat="1" ht="21" customHeight="1">
      <c r="B59" s="97" t="s">
        <v>156</v>
      </c>
      <c r="C59" s="94"/>
      <c r="D59" s="287">
        <f>+VLOOKUP(B59,[3]Flujo!$B$48:$E$72,3,0)</f>
        <v>0</v>
      </c>
      <c r="E59" s="287">
        <f>+VLOOKUP(B59,[3]Flujo!$B$48:$E$72,4,0)</f>
        <v>0</v>
      </c>
      <c r="F59" s="95"/>
      <c r="G59" s="250">
        <f t="shared" si="0"/>
        <v>0</v>
      </c>
      <c r="H59" s="281">
        <f t="shared" si="1"/>
        <v>1</v>
      </c>
      <c r="K59" s="244"/>
      <c r="L59" s="244"/>
    </row>
    <row r="60" spans="2:12" s="96" customFormat="1" ht="21" customHeight="1">
      <c r="B60" s="247" t="s">
        <v>141</v>
      </c>
      <c r="C60" s="94"/>
      <c r="D60" s="287">
        <f>+VLOOKUP(B60,[3]Flujo!$B$48:$E$72,3,0)</f>
        <v>-38537073</v>
      </c>
      <c r="E60" s="287">
        <f>+VLOOKUP(B60,[3]Flujo!$B$48:$E$72,4,0)</f>
        <v>-1550895</v>
      </c>
      <c r="F60" s="95"/>
      <c r="G60" s="250">
        <f t="shared" si="0"/>
        <v>-36986178</v>
      </c>
      <c r="H60" s="281">
        <f t="shared" si="1"/>
        <v>23.848279864207441</v>
      </c>
      <c r="J60" s="96">
        <v>9827327500</v>
      </c>
      <c r="K60" s="326" t="s">
        <v>306</v>
      </c>
      <c r="L60" s="244"/>
    </row>
    <row r="61" spans="2:12" s="96" customFormat="1" ht="21" customHeight="1">
      <c r="B61" s="97" t="s">
        <v>143</v>
      </c>
      <c r="C61" s="94"/>
      <c r="D61" s="287">
        <f>+VLOOKUP(B61,[3]Flujo!$B$48:$E$72,3,0)</f>
        <v>-7417756</v>
      </c>
      <c r="E61" s="287">
        <f>+VLOOKUP(B61,[3]Flujo!$B$48:$E$72,4,0)</f>
        <v>-7785475</v>
      </c>
      <c r="F61" s="95"/>
      <c r="G61" s="250">
        <f t="shared" si="0"/>
        <v>367719</v>
      </c>
      <c r="H61" s="280">
        <f t="shared" si="1"/>
        <v>-4.7231414910458257E-2</v>
      </c>
      <c r="K61" s="244"/>
      <c r="L61" s="244"/>
    </row>
    <row r="62" spans="2:12" s="96" customFormat="1" ht="21" customHeight="1">
      <c r="B62" s="97" t="s">
        <v>161</v>
      </c>
      <c r="C62" s="94"/>
      <c r="D62" s="287">
        <f>+VLOOKUP(B62,[3]Flujo!$B$48:$E$72,3,0)</f>
        <v>0</v>
      </c>
      <c r="E62" s="287">
        <f>+VLOOKUP(B62,[3]Flujo!$B$48:$E$72,4,0)</f>
        <v>0</v>
      </c>
      <c r="F62" s="95"/>
      <c r="G62" s="250">
        <f t="shared" ref="G62:G70" si="2">ROUND(+(D62-E62),0)</f>
        <v>0</v>
      </c>
      <c r="H62" s="280">
        <f t="shared" si="1"/>
        <v>1</v>
      </c>
      <c r="K62" s="244"/>
      <c r="L62" s="244"/>
    </row>
    <row r="63" spans="2:12" s="96" customFormat="1" ht="21" customHeight="1" thickBot="1">
      <c r="B63" s="97" t="s">
        <v>162</v>
      </c>
      <c r="C63" s="94"/>
      <c r="D63" s="287">
        <f>+VLOOKUP(B63,[3]Flujo!$B$48:$E$72,3,0)</f>
        <v>-1223277</v>
      </c>
      <c r="E63" s="287">
        <f>+VLOOKUP(B63,[3]Flujo!$B$48:$E$72,4,0)</f>
        <v>0</v>
      </c>
      <c r="F63" s="95"/>
      <c r="G63" s="250">
        <f t="shared" si="2"/>
        <v>-1223277</v>
      </c>
      <c r="H63" s="280">
        <f t="shared" si="1"/>
        <v>1</v>
      </c>
      <c r="J63" s="325">
        <v>3887567500</v>
      </c>
      <c r="K63" s="326">
        <v>3634842500</v>
      </c>
    </row>
    <row r="64" spans="2:12" s="96" customFormat="1" ht="21" customHeight="1" thickBot="1">
      <c r="B64" s="98" t="s">
        <v>363</v>
      </c>
      <c r="C64" s="100"/>
      <c r="D64" s="289">
        <f>+SUM(D54:D63)</f>
        <v>40976072</v>
      </c>
      <c r="E64" s="289">
        <f>+SUM(E54:E63)</f>
        <v>-22692195</v>
      </c>
      <c r="F64" s="95"/>
      <c r="G64" s="272">
        <f t="shared" si="2"/>
        <v>63668267</v>
      </c>
      <c r="H64" s="283">
        <f t="shared" ref="H64:H70" si="3">+IFERROR(G64/E64,1)</f>
        <v>-2.8057341742392041</v>
      </c>
      <c r="J64" s="325">
        <v>5939600000</v>
      </c>
      <c r="K64" s="326"/>
      <c r="L64" s="244"/>
    </row>
    <row r="65" spans="2:12" s="96" customFormat="1" ht="21" customHeight="1">
      <c r="B65" s="98" t="s">
        <v>296</v>
      </c>
      <c r="C65" s="100"/>
      <c r="D65" s="290">
        <f>+D64+D47+D22</f>
        <v>73237832</v>
      </c>
      <c r="E65" s="290">
        <f>+E64+E47+E22</f>
        <v>-15713314</v>
      </c>
      <c r="F65" s="95"/>
      <c r="G65" s="250">
        <f t="shared" si="2"/>
        <v>88951146</v>
      </c>
      <c r="H65" s="280">
        <f t="shared" si="3"/>
        <v>-5.6608775208081505</v>
      </c>
      <c r="K65" s="244"/>
      <c r="L65" s="244"/>
    </row>
    <row r="66" spans="2:12" s="96" customFormat="1" ht="21" customHeight="1">
      <c r="B66" s="101" t="s">
        <v>328</v>
      </c>
      <c r="C66" s="99"/>
      <c r="D66" s="291"/>
      <c r="E66" s="287"/>
      <c r="F66" s="95"/>
      <c r="G66" s="250">
        <f t="shared" si="2"/>
        <v>0</v>
      </c>
      <c r="H66" s="280">
        <f t="shared" si="3"/>
        <v>1</v>
      </c>
      <c r="K66" s="244"/>
      <c r="L66" s="244"/>
    </row>
    <row r="67" spans="2:12" s="96" customFormat="1" ht="21" customHeight="1" thickBot="1">
      <c r="B67" s="102" t="s">
        <v>172</v>
      </c>
      <c r="C67" s="99"/>
      <c r="D67" s="287">
        <f>+VLOOKUP(B67,[3]Flujo!$B$48:$E$72,3,0)</f>
        <v>0</v>
      </c>
      <c r="E67" s="287">
        <f>+VLOOKUP(B67,[3]Flujo!$B$48:$E$72,4,0)</f>
        <v>0</v>
      </c>
      <c r="F67" s="95"/>
      <c r="G67" s="250">
        <f t="shared" si="2"/>
        <v>0</v>
      </c>
      <c r="H67" s="280">
        <f t="shared" si="3"/>
        <v>1</v>
      </c>
      <c r="K67" s="244"/>
      <c r="L67" s="244"/>
    </row>
    <row r="68" spans="2:12" s="96" customFormat="1" ht="21" customHeight="1" thickBot="1">
      <c r="B68" s="98" t="s">
        <v>225</v>
      </c>
      <c r="C68" s="100"/>
      <c r="D68" s="287">
        <f>+VLOOKUP(B68,[3]Flujo!$B$48:$E$72,3,0)</f>
        <v>73237832</v>
      </c>
      <c r="E68" s="287">
        <f>+VLOOKUP(B68,[3]Flujo!$B$48:$E$72,4,0)</f>
        <v>-15713314</v>
      </c>
      <c r="F68" s="95"/>
      <c r="G68" s="272">
        <f t="shared" si="2"/>
        <v>88951146</v>
      </c>
      <c r="H68" s="283">
        <f t="shared" si="3"/>
        <v>-5.6608775208081505</v>
      </c>
      <c r="K68" s="244">
        <f>+J63+J64-K63</f>
        <v>6192325000</v>
      </c>
      <c r="L68" s="244"/>
    </row>
    <row r="69" spans="2:12" s="96" customFormat="1" ht="21" customHeight="1" thickBot="1">
      <c r="B69" s="97" t="s">
        <v>226</v>
      </c>
      <c r="C69" s="94"/>
      <c r="D69" s="287">
        <f>+VLOOKUP(B69,[3]Flujo!$B$48:$E$72,3,0)</f>
        <v>108758431</v>
      </c>
      <c r="E69" s="287">
        <f>+VLOOKUP(B69,[3]Flujo!$B$48:$E$72,4,0)</f>
        <v>109156681</v>
      </c>
      <c r="F69" s="103"/>
      <c r="G69" s="250">
        <f t="shared" si="2"/>
        <v>-398250</v>
      </c>
      <c r="H69" s="280">
        <f t="shared" si="3"/>
        <v>-3.648425330924087E-3</v>
      </c>
      <c r="J69" s="96">
        <f>+J64+J63-J60</f>
        <v>-160000</v>
      </c>
      <c r="K69" s="244"/>
      <c r="L69" s="244"/>
    </row>
    <row r="70" spans="2:12" s="96" customFormat="1" ht="21" customHeight="1" thickBot="1">
      <c r="B70" s="104" t="s">
        <v>227</v>
      </c>
      <c r="C70" s="105">
        <v>7</v>
      </c>
      <c r="D70" s="287">
        <f>+VLOOKUP(B70,[3]Flujo!$B:$E,3,0)</f>
        <v>181996263</v>
      </c>
      <c r="E70" s="287">
        <f>+VLOOKUP(B70,[3]Flujo!$B:$E,4,0)</f>
        <v>93443367</v>
      </c>
      <c r="G70" s="272">
        <f t="shared" si="2"/>
        <v>88552896</v>
      </c>
      <c r="H70" s="283">
        <f t="shared" si="3"/>
        <v>0.94766379726021643</v>
      </c>
      <c r="K70" s="244"/>
      <c r="L70" s="244"/>
    </row>
    <row r="71" spans="2:12">
      <c r="D71" s="266"/>
      <c r="E71" s="409"/>
    </row>
    <row r="72" spans="2:12">
      <c r="D72" s="292">
        <f>+D70-Balance!D6</f>
        <v>0</v>
      </c>
      <c r="E72" s="292">
        <f>+E70-Balance!E6</f>
        <v>-15315064</v>
      </c>
    </row>
  </sheetData>
  <autoFilter ref="B2:E70" xr:uid="{00000000-0009-0000-0000-00000B000000}"/>
  <mergeCells count="3">
    <mergeCell ref="B2:B3"/>
    <mergeCell ref="C2:C3"/>
    <mergeCell ref="G2:H2"/>
  </mergeCells>
  <conditionalFormatting sqref="B1:B1048576">
    <cfRule type="duplicateValues" dxfId="0" priority="1"/>
  </conditionalFormatting>
  <pageMargins left="0.23622047244094491" right="0.27559055118110237" top="0.98425196850393704" bottom="0.98425196850393704" header="0" footer="0"/>
  <pageSetup scale="4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B050"/>
    <pageSetUpPr fitToPage="1"/>
  </sheetPr>
  <dimension ref="A1:M52"/>
  <sheetViews>
    <sheetView showGridLines="0" tabSelected="1" topLeftCell="A23" workbookViewId="0">
      <selection activeCell="C40" sqref="C40:C44"/>
    </sheetView>
  </sheetViews>
  <sheetFormatPr baseColWidth="10" defaultColWidth="0" defaultRowHeight="15" customHeight="1" zeroHeight="1"/>
  <cols>
    <col min="1" max="1" width="4" style="7" customWidth="1"/>
    <col min="2" max="2" width="44.6640625" style="7" bestFit="1" customWidth="1"/>
    <col min="3" max="4" width="12.5546875" style="7" customWidth="1"/>
    <col min="5" max="5" width="15.5546875" style="7" customWidth="1"/>
    <col min="6" max="6" width="13.44140625" style="7" bestFit="1" customWidth="1"/>
    <col min="7" max="8" width="11.44140625" style="7" customWidth="1"/>
    <col min="9" max="11" width="11.44140625" style="7" hidden="1" customWidth="1"/>
    <col min="12" max="13" width="0" style="7" hidden="1" customWidth="1"/>
    <col min="14" max="16384" width="11.44140625" style="7" hidden="1"/>
  </cols>
  <sheetData>
    <row r="1" spans="1:8" ht="15" customHeight="1">
      <c r="A1" s="13" t="s">
        <v>204</v>
      </c>
    </row>
    <row r="2" spans="1:8" ht="15" customHeight="1"/>
    <row r="3" spans="1:8" ht="15" customHeight="1" thickBot="1">
      <c r="B3" s="2" t="s">
        <v>237</v>
      </c>
      <c r="C3" s="295" t="s">
        <v>368</v>
      </c>
      <c r="D3" s="295" t="s">
        <v>367</v>
      </c>
      <c r="E3" s="239" t="s">
        <v>274</v>
      </c>
      <c r="F3" s="294" t="s">
        <v>369</v>
      </c>
    </row>
    <row r="4" spans="1:8" ht="15" customHeight="1">
      <c r="B4" s="3" t="s">
        <v>260</v>
      </c>
      <c r="C4" s="296">
        <v>197436623</v>
      </c>
      <c r="D4" s="296">
        <v>189140192</v>
      </c>
      <c r="E4" s="9">
        <v>4.3999999999999997E-2</v>
      </c>
      <c r="F4" s="8">
        <v>8296431</v>
      </c>
      <c r="G4" s="18"/>
      <c r="H4" s="21"/>
    </row>
    <row r="5" spans="1:8" s="14" customFormat="1" ht="15" customHeight="1">
      <c r="B5" s="4" t="s">
        <v>261</v>
      </c>
      <c r="C5" s="413">
        <v>-85904998</v>
      </c>
      <c r="D5" s="413">
        <v>-81986857</v>
      </c>
      <c r="E5" s="9">
        <v>4.8000000000000001E-2</v>
      </c>
      <c r="F5" s="8">
        <v>-3918141</v>
      </c>
      <c r="G5" s="18"/>
      <c r="H5" s="21"/>
    </row>
    <row r="6" spans="1:8" s="14" customFormat="1" ht="15" customHeight="1">
      <c r="B6" s="5" t="s">
        <v>188</v>
      </c>
      <c r="C6" s="297">
        <v>111531625</v>
      </c>
      <c r="D6" s="297">
        <v>107153335</v>
      </c>
      <c r="E6" s="11">
        <v>4.1000000000000002E-2</v>
      </c>
      <c r="F6" s="10">
        <v>4378290</v>
      </c>
      <c r="G6" s="25"/>
      <c r="H6" s="21"/>
    </row>
    <row r="7" spans="1:8" s="14" customFormat="1" ht="15" customHeight="1">
      <c r="B7" s="4" t="s">
        <v>62</v>
      </c>
      <c r="C7" s="296">
        <v>-20703954</v>
      </c>
      <c r="D7" s="296">
        <v>-19972547</v>
      </c>
      <c r="E7" s="9">
        <v>3.6999999999999998E-2</v>
      </c>
      <c r="F7" s="8">
        <v>-731407</v>
      </c>
      <c r="G7" s="18"/>
      <c r="H7" s="21"/>
    </row>
    <row r="8" spans="1:8" s="14" customFormat="1" ht="15" customHeight="1">
      <c r="B8" s="5" t="s">
        <v>262</v>
      </c>
      <c r="C8" s="297">
        <v>90827671</v>
      </c>
      <c r="D8" s="297">
        <v>87180788</v>
      </c>
      <c r="E8" s="11">
        <v>4.2000000000000003E-2</v>
      </c>
      <c r="F8" s="10">
        <v>3646883</v>
      </c>
      <c r="G8" s="25"/>
      <c r="H8" s="21"/>
    </row>
    <row r="9" spans="1:8" s="14" customFormat="1" ht="14.4" customHeight="1">
      <c r="B9" s="4" t="s">
        <v>263</v>
      </c>
      <c r="C9" s="296">
        <v>-564157</v>
      </c>
      <c r="D9" s="296">
        <v>3150580</v>
      </c>
      <c r="E9" s="9">
        <v>-1.179</v>
      </c>
      <c r="F9" s="8">
        <v>-3714737</v>
      </c>
      <c r="G9" s="18"/>
      <c r="H9" s="21"/>
    </row>
    <row r="10" spans="1:8" s="14" customFormat="1" ht="13.95" hidden="1" customHeight="1">
      <c r="B10" s="4" t="s">
        <v>302</v>
      </c>
      <c r="C10" s="413"/>
      <c r="D10" s="413">
        <v>0</v>
      </c>
      <c r="E10" s="307">
        <v>0</v>
      </c>
      <c r="F10" s="8">
        <v>0</v>
      </c>
      <c r="G10" s="18"/>
      <c r="H10" s="21"/>
    </row>
    <row r="11" spans="1:8" s="14" customFormat="1" ht="15" customHeight="1">
      <c r="B11" s="4" t="s">
        <v>264</v>
      </c>
      <c r="C11" s="413">
        <v>-26878618</v>
      </c>
      <c r="D11" s="413">
        <v>-17896793</v>
      </c>
      <c r="E11" s="9">
        <v>0.502</v>
      </c>
      <c r="F11" s="8">
        <v>-8981825</v>
      </c>
      <c r="G11" s="18"/>
      <c r="H11" s="21"/>
    </row>
    <row r="12" spans="1:8" s="14" customFormat="1" ht="15" customHeight="1">
      <c r="B12" s="4" t="s">
        <v>228</v>
      </c>
      <c r="C12" s="413">
        <v>-12462821</v>
      </c>
      <c r="D12" s="413">
        <v>-17524580</v>
      </c>
      <c r="E12" s="9">
        <v>-0.28899999999999998</v>
      </c>
      <c r="F12" s="8">
        <v>5061759</v>
      </c>
      <c r="G12" s="18"/>
      <c r="H12" s="21"/>
    </row>
    <row r="13" spans="1:8" s="14" customFormat="1" ht="15" customHeight="1">
      <c r="B13" s="4" t="s">
        <v>330</v>
      </c>
      <c r="C13" s="413">
        <v>-955</v>
      </c>
      <c r="D13" s="413">
        <v>-927</v>
      </c>
      <c r="E13" s="9">
        <v>0.03</v>
      </c>
      <c r="F13" s="8">
        <v>-28</v>
      </c>
      <c r="G13" s="18"/>
      <c r="H13" s="21"/>
    </row>
    <row r="14" spans="1:8" s="14" customFormat="1" ht="15" customHeight="1">
      <c r="B14" s="5" t="s">
        <v>265</v>
      </c>
      <c r="C14" s="412">
        <v>50921120</v>
      </c>
      <c r="D14" s="412">
        <v>54909068</v>
      </c>
      <c r="E14" s="11">
        <v>-7.2999999999999995E-2</v>
      </c>
      <c r="F14" s="10">
        <v>-3987948</v>
      </c>
      <c r="G14" s="25"/>
      <c r="H14" s="21"/>
    </row>
    <row r="15" spans="1:8" s="14" customFormat="1" ht="15" customHeight="1">
      <c r="C15" s="360"/>
      <c r="D15" s="360"/>
    </row>
    <row r="16" spans="1:8" ht="15" customHeight="1">
      <c r="C16" s="309"/>
      <c r="D16" s="309"/>
    </row>
    <row r="17" spans="1:8" s="345" customFormat="1" ht="15" customHeight="1">
      <c r="A17" s="13" t="s">
        <v>205</v>
      </c>
      <c r="B17" s="15"/>
      <c r="C17" s="16"/>
      <c r="D17" s="16"/>
      <c r="E17" s="361"/>
      <c r="F17" s="362"/>
      <c r="G17" s="16"/>
      <c r="H17" s="14"/>
    </row>
    <row r="18" spans="1:8" s="345" customFormat="1" ht="15" customHeight="1" thickBot="1">
      <c r="B18" s="7"/>
      <c r="C18" s="446" t="s">
        <v>368</v>
      </c>
      <c r="D18" s="446"/>
      <c r="E18" s="7"/>
      <c r="F18" s="447" t="s">
        <v>367</v>
      </c>
      <c r="G18" s="447"/>
      <c r="H18" s="7"/>
    </row>
    <row r="19" spans="1:8" s="345" customFormat="1" ht="15" customHeight="1">
      <c r="B19" s="7"/>
      <c r="C19" s="363" t="s">
        <v>193</v>
      </c>
      <c r="D19" s="448" t="s">
        <v>194</v>
      </c>
      <c r="E19" s="7"/>
      <c r="F19" s="17" t="s">
        <v>193</v>
      </c>
      <c r="G19" s="450" t="s">
        <v>194</v>
      </c>
      <c r="H19" s="7"/>
    </row>
    <row r="20" spans="1:8" s="345" customFormat="1" ht="15" customHeight="1" thickBot="1">
      <c r="B20" s="7"/>
      <c r="C20" s="295" t="s">
        <v>290</v>
      </c>
      <c r="D20" s="449"/>
      <c r="E20" s="7"/>
      <c r="F20" s="6" t="s">
        <v>8</v>
      </c>
      <c r="G20" s="451"/>
      <c r="H20" s="7"/>
    </row>
    <row r="21" spans="1:8" s="345" customFormat="1" ht="15" customHeight="1">
      <c r="B21" s="4" t="s">
        <v>256</v>
      </c>
      <c r="C21" s="18">
        <v>90166698</v>
      </c>
      <c r="D21" s="364">
        <v>0.45700000000000002</v>
      </c>
      <c r="E21" s="7"/>
      <c r="F21" s="18">
        <v>83495368</v>
      </c>
      <c r="G21" s="364">
        <v>0.441</v>
      </c>
      <c r="H21" s="7"/>
    </row>
    <row r="22" spans="1:8" s="345" customFormat="1" ht="15" customHeight="1">
      <c r="B22" s="4" t="s">
        <v>257</v>
      </c>
      <c r="C22" s="18">
        <v>84930336</v>
      </c>
      <c r="D22" s="364">
        <v>0.43</v>
      </c>
      <c r="E22" s="7"/>
      <c r="F22" s="18">
        <v>80321146</v>
      </c>
      <c r="G22" s="364">
        <v>0.42499999999999999</v>
      </c>
      <c r="H22" s="7"/>
    </row>
    <row r="23" spans="1:8" s="345" customFormat="1" ht="15" customHeight="1">
      <c r="B23" s="15" t="s">
        <v>259</v>
      </c>
      <c r="C23" s="18">
        <v>6440443</v>
      </c>
      <c r="D23" s="364">
        <v>3.2000000000000001E-2</v>
      </c>
      <c r="E23" s="7"/>
      <c r="F23" s="18">
        <v>6581923</v>
      </c>
      <c r="G23" s="364">
        <v>3.5000000000000003E-2</v>
      </c>
      <c r="H23" s="7"/>
    </row>
    <row r="24" spans="1:8" s="345" customFormat="1" ht="15" customHeight="1" thickBot="1">
      <c r="B24" s="4" t="s">
        <v>258</v>
      </c>
      <c r="C24" s="365">
        <v>15899146</v>
      </c>
      <c r="D24" s="366">
        <v>8.1000000000000003E-2</v>
      </c>
      <c r="E24" s="7"/>
      <c r="F24" s="365">
        <v>18741755</v>
      </c>
      <c r="G24" s="366">
        <v>9.9000000000000005E-2</v>
      </c>
      <c r="H24" s="7"/>
    </row>
    <row r="25" spans="1:8" s="345" customFormat="1" ht="15" customHeight="1" thickTop="1">
      <c r="B25" s="5" t="s">
        <v>195</v>
      </c>
      <c r="C25" s="25">
        <v>197436623</v>
      </c>
      <c r="D25" s="367">
        <v>1</v>
      </c>
      <c r="E25" s="7"/>
      <c r="F25" s="25">
        <v>189140192</v>
      </c>
      <c r="G25" s="367">
        <v>1</v>
      </c>
      <c r="H25" s="7"/>
    </row>
    <row r="26" spans="1:8" s="345" customFormat="1" ht="15" customHeight="1">
      <c r="B26" s="14"/>
      <c r="C26" s="368">
        <v>0</v>
      </c>
      <c r="D26" s="368"/>
      <c r="E26" s="369"/>
      <c r="F26" s="368"/>
      <c r="G26" s="14"/>
      <c r="H26" s="14"/>
    </row>
    <row r="27" spans="1:8" s="345" customFormat="1" ht="15" customHeight="1" thickBot="1">
      <c r="B27" s="431" t="s">
        <v>268</v>
      </c>
      <c r="C27" s="6" t="s">
        <v>368</v>
      </c>
      <c r="D27" s="6" t="s">
        <v>367</v>
      </c>
      <c r="E27" s="6" t="s">
        <v>178</v>
      </c>
      <c r="F27" s="7"/>
      <c r="G27" s="6" t="s">
        <v>196</v>
      </c>
      <c r="H27" s="14" t="s">
        <v>309</v>
      </c>
    </row>
    <row r="28" spans="1:8" s="345" customFormat="1" ht="15" customHeight="1">
      <c r="B28" s="23" t="s">
        <v>266</v>
      </c>
      <c r="C28" s="18">
        <v>148046</v>
      </c>
      <c r="D28" s="18">
        <v>147288</v>
      </c>
      <c r="E28" s="9">
        <v>5.0000000000000001E-3</v>
      </c>
      <c r="F28" s="7"/>
      <c r="G28" s="8">
        <v>758</v>
      </c>
      <c r="H28" s="14"/>
    </row>
    <row r="29" spans="1:8" s="345" customFormat="1" ht="15" customHeight="1">
      <c r="B29" s="23" t="s">
        <v>267</v>
      </c>
      <c r="C29" s="18">
        <v>139327</v>
      </c>
      <c r="D29" s="18">
        <v>139696</v>
      </c>
      <c r="E29" s="9">
        <v>-3.0000000000000001E-3</v>
      </c>
      <c r="F29" s="7"/>
      <c r="G29" s="8">
        <v>-369</v>
      </c>
      <c r="H29" s="14"/>
    </row>
    <row r="30" spans="1:8" s="345" customFormat="1" ht="15" customHeight="1">
      <c r="B30" s="23" t="s">
        <v>356</v>
      </c>
      <c r="C30" s="18">
        <v>117543</v>
      </c>
      <c r="D30" s="18">
        <v>118808</v>
      </c>
      <c r="E30" s="9">
        <v>-1.0999999999999999E-2</v>
      </c>
      <c r="F30" s="7"/>
      <c r="G30" s="8">
        <v>-1265</v>
      </c>
      <c r="H30" s="14"/>
    </row>
    <row r="31" spans="1:8" s="343" customFormat="1" ht="15" customHeight="1">
      <c r="B31" s="23" t="s">
        <v>229</v>
      </c>
      <c r="C31" s="18">
        <v>36466</v>
      </c>
      <c r="D31" s="18">
        <v>34844</v>
      </c>
      <c r="E31" s="9">
        <v>4.7E-2</v>
      </c>
      <c r="F31" s="20"/>
      <c r="G31" s="8">
        <v>1622</v>
      </c>
      <c r="H31" s="7"/>
    </row>
    <row r="32" spans="1:8" s="343" customFormat="1" ht="15" customHeight="1">
      <c r="B32" s="7"/>
      <c r="C32" s="432"/>
      <c r="D32" s="432"/>
      <c r="E32" s="7"/>
      <c r="F32" s="7"/>
      <c r="G32" s="7"/>
      <c r="H32" s="7"/>
    </row>
    <row r="33" spans="2:8" s="343" customFormat="1" ht="15" customHeight="1" thickBot="1">
      <c r="B33" s="19" t="s">
        <v>197</v>
      </c>
      <c r="C33" s="6" t="s">
        <v>368</v>
      </c>
      <c r="D33" s="6" t="s">
        <v>367</v>
      </c>
      <c r="E33" s="6" t="s">
        <v>178</v>
      </c>
      <c r="F33" s="7"/>
      <c r="G33" s="6" t="s">
        <v>196</v>
      </c>
      <c r="H33" s="7" t="s">
        <v>309</v>
      </c>
    </row>
    <row r="34" spans="2:8" s="343" customFormat="1" ht="15" customHeight="1">
      <c r="B34" s="23" t="s">
        <v>266</v>
      </c>
      <c r="C34" s="434">
        <v>2352872</v>
      </c>
      <c r="D34" s="18">
        <v>2319510</v>
      </c>
      <c r="E34" s="9">
        <v>1.4E-2</v>
      </c>
      <c r="F34" s="7"/>
      <c r="G34" s="8">
        <v>33362</v>
      </c>
      <c r="H34" s="7"/>
    </row>
    <row r="35" spans="2:8" s="343" customFormat="1" ht="15" customHeight="1">
      <c r="B35" s="23" t="s">
        <v>267</v>
      </c>
      <c r="C35" s="434">
        <v>2307945</v>
      </c>
      <c r="D35" s="18">
        <v>2274691</v>
      </c>
      <c r="E35" s="9">
        <v>1.4999999999999999E-2</v>
      </c>
      <c r="F35" s="7"/>
      <c r="G35" s="8">
        <v>33254</v>
      </c>
      <c r="H35" s="7"/>
    </row>
    <row r="36" spans="2:8" s="343" customFormat="1" ht="15" customHeight="1">
      <c r="B36" s="7"/>
      <c r="C36" s="7"/>
      <c r="D36" s="7"/>
      <c r="E36" s="7"/>
      <c r="F36" s="7"/>
      <c r="G36" s="7"/>
      <c r="H36" s="7"/>
    </row>
    <row r="37" spans="2:8" s="343" customFormat="1" ht="15" customHeight="1">
      <c r="B37" s="433" t="s">
        <v>206</v>
      </c>
      <c r="C37" s="7"/>
      <c r="D37" s="7"/>
      <c r="E37" s="7"/>
      <c r="F37" s="7"/>
      <c r="G37" s="7"/>
      <c r="H37" s="7"/>
    </row>
    <row r="38" spans="2:8" s="343" customFormat="1" ht="15" customHeight="1">
      <c r="B38" s="433"/>
      <c r="C38" s="7"/>
      <c r="D38" s="7"/>
      <c r="E38" s="7"/>
      <c r="F38" s="7"/>
      <c r="G38" s="7"/>
      <c r="H38" s="7"/>
    </row>
    <row r="39" spans="2:8" s="343" customFormat="1" ht="14.4" thickBot="1">
      <c r="B39" s="19" t="s">
        <v>238</v>
      </c>
      <c r="C39" s="6" t="s">
        <v>368</v>
      </c>
      <c r="D39" s="6" t="s">
        <v>367</v>
      </c>
      <c r="E39" s="6" t="s">
        <v>178</v>
      </c>
      <c r="F39" s="7"/>
      <c r="G39" s="7"/>
      <c r="H39" s="7"/>
    </row>
    <row r="40" spans="2:8" s="343" customFormat="1" ht="13.8">
      <c r="B40" s="4" t="s">
        <v>173</v>
      </c>
      <c r="C40" s="18">
        <v>5835053</v>
      </c>
      <c r="D40" s="18">
        <v>5795345</v>
      </c>
      <c r="E40" s="9">
        <v>6.9999999999998952E-3</v>
      </c>
      <c r="F40" s="7"/>
      <c r="G40" s="7"/>
      <c r="H40" s="7"/>
    </row>
    <row r="41" spans="2:8" s="343" customFormat="1" ht="13.8">
      <c r="B41" s="4" t="s">
        <v>283</v>
      </c>
      <c r="C41" s="18">
        <v>3038228</v>
      </c>
      <c r="D41" s="18">
        <v>2611376</v>
      </c>
      <c r="E41" s="9">
        <v>0.16300000000000003</v>
      </c>
      <c r="F41" s="7"/>
      <c r="G41" s="7"/>
      <c r="H41" s="7"/>
    </row>
    <row r="42" spans="2:8" s="343" customFormat="1" ht="13.8">
      <c r="B42" s="4" t="s">
        <v>308</v>
      </c>
      <c r="C42" s="18">
        <v>1206596</v>
      </c>
      <c r="D42" s="18">
        <v>1807436</v>
      </c>
      <c r="E42" s="9">
        <v>-0.33199999999999996</v>
      </c>
      <c r="F42" s="7"/>
      <c r="G42" s="7"/>
      <c r="H42" s="7"/>
    </row>
    <row r="43" spans="2:8" s="343" customFormat="1" ht="13.8">
      <c r="B43" s="4" t="s">
        <v>339</v>
      </c>
      <c r="C43" s="18">
        <v>644421</v>
      </c>
      <c r="D43" s="18">
        <v>971322</v>
      </c>
      <c r="E43" s="9">
        <v>-0.33699999999999997</v>
      </c>
      <c r="F43" s="7"/>
      <c r="G43" s="7"/>
      <c r="H43" s="7"/>
    </row>
    <row r="44" spans="2:8" s="343" customFormat="1" ht="13.8">
      <c r="B44" s="5" t="s">
        <v>89</v>
      </c>
      <c r="C44" s="25">
        <v>10724298</v>
      </c>
      <c r="D44" s="25">
        <v>11185479</v>
      </c>
      <c r="E44" s="11">
        <v>-4.1000000000000036E-2</v>
      </c>
      <c r="F44" s="7"/>
      <c r="G44" s="7"/>
      <c r="H44" s="7"/>
    </row>
    <row r="45" spans="2:8" s="343" customFormat="1" ht="15" customHeight="1">
      <c r="C45" s="370"/>
      <c r="D45" s="370"/>
    </row>
    <row r="46" spans="2:8" s="343" customFormat="1" ht="15" customHeight="1">
      <c r="C46" s="371"/>
      <c r="D46" s="371"/>
      <c r="G46" s="371"/>
    </row>
    <row r="47" spans="2:8" s="343" customFormat="1" ht="15" hidden="1" customHeight="1"/>
    <row r="50" spans="2:3" ht="15" hidden="1" customHeight="1">
      <c r="B50" s="4"/>
      <c r="C50" s="22"/>
    </row>
    <row r="51" spans="2:3" ht="15" hidden="1" customHeight="1">
      <c r="B51" s="4"/>
      <c r="C51" s="22"/>
    </row>
    <row r="52" spans="2:3" ht="15" hidden="1" customHeight="1">
      <c r="B52" s="4"/>
      <c r="C52" s="22"/>
    </row>
  </sheetData>
  <mergeCells count="4">
    <mergeCell ref="C18:D18"/>
    <mergeCell ref="F18:G18"/>
    <mergeCell ref="D19:D20"/>
    <mergeCell ref="G19:G20"/>
  </mergeCells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B050"/>
  </sheetPr>
  <dimension ref="A1:M31"/>
  <sheetViews>
    <sheetView showGridLines="0" workbookViewId="0"/>
  </sheetViews>
  <sheetFormatPr baseColWidth="10" defaultColWidth="0" defaultRowHeight="13.8" zeroHeight="1"/>
  <cols>
    <col min="1" max="1" width="11.44140625" style="7" customWidth="1"/>
    <col min="2" max="2" width="25.44140625" style="7" bestFit="1" customWidth="1"/>
    <col min="3" max="4" width="12" style="7" bestFit="1" customWidth="1"/>
    <col min="5" max="8" width="11.44140625" style="7" customWidth="1"/>
    <col min="9" max="11" width="11.44140625" style="7" hidden="1" customWidth="1"/>
    <col min="12" max="13" width="0" style="7" hidden="1" customWidth="1"/>
    <col min="14" max="16384" width="11.44140625" style="7" hidden="1"/>
  </cols>
  <sheetData>
    <row r="1" spans="2:7">
      <c r="B1" s="12" t="s">
        <v>252</v>
      </c>
    </row>
    <row r="2" spans="2:7"/>
    <row r="3" spans="2:7" ht="14.4" thickBot="1">
      <c r="B3" s="47" t="s">
        <v>237</v>
      </c>
      <c r="C3" s="6" t="s">
        <v>368</v>
      </c>
      <c r="D3" s="6" t="s">
        <v>367</v>
      </c>
      <c r="E3" s="6" t="s">
        <v>178</v>
      </c>
      <c r="G3" s="6" t="s">
        <v>369</v>
      </c>
    </row>
    <row r="4" spans="2:7">
      <c r="B4" s="23" t="s">
        <v>269</v>
      </c>
      <c r="C4" s="8">
        <v>186685609</v>
      </c>
      <c r="D4" s="8">
        <v>177892928</v>
      </c>
      <c r="E4" s="9">
        <v>4.9000000000000002E-2</v>
      </c>
      <c r="G4" s="8">
        <v>8792681</v>
      </c>
    </row>
    <row r="5" spans="2:7">
      <c r="B5" s="23" t="s">
        <v>270</v>
      </c>
      <c r="C5" s="8">
        <v>358796</v>
      </c>
      <c r="D5" s="8">
        <v>330085</v>
      </c>
      <c r="E5" s="9">
        <v>8.6999999999999994E-2</v>
      </c>
      <c r="F5" s="20"/>
      <c r="G5" s="8">
        <v>28711</v>
      </c>
    </row>
    <row r="6" spans="2:7">
      <c r="B6" s="23" t="s">
        <v>261</v>
      </c>
      <c r="C6" s="8">
        <v>-78089731</v>
      </c>
      <c r="D6" s="8">
        <v>-73786711</v>
      </c>
      <c r="E6" s="9">
        <v>5.8000000000000003E-2</v>
      </c>
      <c r="G6" s="8">
        <v>-4303020</v>
      </c>
    </row>
    <row r="7" spans="2:7" s="12" customFormat="1">
      <c r="B7" s="48" t="s">
        <v>188</v>
      </c>
      <c r="C7" s="297">
        <v>108954674</v>
      </c>
      <c r="D7" s="297">
        <v>104436302</v>
      </c>
      <c r="E7" s="11">
        <v>4.2999999999999997E-2</v>
      </c>
      <c r="G7" s="10">
        <v>4518372</v>
      </c>
    </row>
    <row r="8" spans="2:7">
      <c r="B8" s="23" t="s">
        <v>62</v>
      </c>
      <c r="C8" s="8">
        <v>-20064026</v>
      </c>
      <c r="D8" s="8">
        <v>-19395662</v>
      </c>
      <c r="E8" s="9">
        <v>3.4000000000000002E-2</v>
      </c>
      <c r="G8" s="8">
        <v>-668364</v>
      </c>
    </row>
    <row r="9" spans="2:7" s="12" customFormat="1">
      <c r="B9" s="48" t="s">
        <v>262</v>
      </c>
      <c r="C9" s="297">
        <v>88890648</v>
      </c>
      <c r="D9" s="297">
        <v>85040640</v>
      </c>
      <c r="E9" s="11">
        <v>4.4999999999999998E-2</v>
      </c>
      <c r="G9" s="10">
        <v>3850008</v>
      </c>
    </row>
    <row r="10" spans="2:7">
      <c r="B10" s="23" t="s">
        <v>271</v>
      </c>
      <c r="C10" s="8">
        <v>-547530</v>
      </c>
      <c r="D10" s="8">
        <v>2660031</v>
      </c>
      <c r="E10" s="9" t="s">
        <v>297</v>
      </c>
      <c r="F10" s="20"/>
      <c r="G10" s="8">
        <v>-3207561</v>
      </c>
    </row>
    <row r="11" spans="2:7">
      <c r="B11" s="23" t="s">
        <v>264</v>
      </c>
      <c r="C11" s="8">
        <v>-26881506</v>
      </c>
      <c r="D11" s="8">
        <v>-17809123</v>
      </c>
      <c r="E11" s="9">
        <v>0.50900000000000001</v>
      </c>
      <c r="G11" s="8">
        <v>-9072383</v>
      </c>
    </row>
    <row r="12" spans="2:7">
      <c r="B12" s="23" t="s">
        <v>228</v>
      </c>
      <c r="C12" s="8">
        <v>-12080755</v>
      </c>
      <c r="D12" s="8">
        <v>-16830167</v>
      </c>
      <c r="E12" s="9">
        <v>-0.28199999999999997</v>
      </c>
      <c r="G12" s="8">
        <v>4749412</v>
      </c>
    </row>
    <row r="13" spans="2:7">
      <c r="B13" s="23" t="s">
        <v>329</v>
      </c>
      <c r="C13" s="8">
        <v>-955</v>
      </c>
      <c r="D13" s="8">
        <v>-927</v>
      </c>
      <c r="E13" s="9">
        <v>0.03</v>
      </c>
      <c r="G13" s="8">
        <v>-28</v>
      </c>
    </row>
    <row r="14" spans="2:7" s="12" customFormat="1">
      <c r="B14" s="48" t="s">
        <v>265</v>
      </c>
      <c r="C14" s="412">
        <v>49379902</v>
      </c>
      <c r="D14" s="297">
        <v>53060454</v>
      </c>
      <c r="E14" s="11">
        <v>-6.9000000000000006E-2</v>
      </c>
      <c r="G14" s="10">
        <v>-3680552</v>
      </c>
    </row>
    <row r="15" spans="2:7">
      <c r="C15" s="248">
        <v>0</v>
      </c>
      <c r="D15" s="248">
        <v>0</v>
      </c>
    </row>
    <row r="16" spans="2:7">
      <c r="C16" s="24"/>
      <c r="D16" s="24"/>
    </row>
    <row r="17" spans="2:7">
      <c r="B17" s="12" t="s">
        <v>253</v>
      </c>
    </row>
    <row r="18" spans="2:7"/>
    <row r="19" spans="2:7" ht="14.4" thickBot="1">
      <c r="B19" s="47" t="s">
        <v>237</v>
      </c>
      <c r="C19" s="6" t="s">
        <v>368</v>
      </c>
      <c r="D19" s="6" t="s">
        <v>367</v>
      </c>
      <c r="E19" s="6" t="s">
        <v>178</v>
      </c>
      <c r="G19" s="6" t="s">
        <v>369</v>
      </c>
    </row>
    <row r="20" spans="2:7">
      <c r="B20" s="23" t="s">
        <v>269</v>
      </c>
      <c r="C20" s="8">
        <v>10751014</v>
      </c>
      <c r="D20" s="8">
        <v>11247264</v>
      </c>
      <c r="E20" s="9">
        <v>-4.3999999999999997E-2</v>
      </c>
      <c r="G20" s="8">
        <v>-496250</v>
      </c>
    </row>
    <row r="21" spans="2:7">
      <c r="B21" s="23" t="s">
        <v>270</v>
      </c>
      <c r="C21" s="8">
        <v>3424923</v>
      </c>
      <c r="D21" s="8">
        <v>2153901</v>
      </c>
      <c r="E21" s="9">
        <v>0.59</v>
      </c>
      <c r="G21" s="8">
        <v>1271022</v>
      </c>
    </row>
    <row r="22" spans="2:7">
      <c r="B22" s="23" t="s">
        <v>261</v>
      </c>
      <c r="C22" s="8">
        <v>-11598986</v>
      </c>
      <c r="D22" s="8">
        <v>-10684132</v>
      </c>
      <c r="E22" s="9">
        <v>8.5999999999999993E-2</v>
      </c>
      <c r="G22" s="8">
        <v>-914854</v>
      </c>
    </row>
    <row r="23" spans="2:7">
      <c r="B23" s="48" t="s">
        <v>188</v>
      </c>
      <c r="C23" s="10">
        <v>2576951</v>
      </c>
      <c r="D23" s="10">
        <v>2717033</v>
      </c>
      <c r="E23" s="11">
        <v>-5.1999999999999998E-2</v>
      </c>
      <c r="F23" s="12"/>
      <c r="G23" s="10">
        <v>-140082</v>
      </c>
    </row>
    <row r="24" spans="2:7">
      <c r="B24" s="23" t="s">
        <v>62</v>
      </c>
      <c r="C24" s="8">
        <v>-639928</v>
      </c>
      <c r="D24" s="8">
        <v>-576885</v>
      </c>
      <c r="E24" s="9">
        <v>0.109</v>
      </c>
      <c r="G24" s="8">
        <v>-63043</v>
      </c>
    </row>
    <row r="25" spans="2:7">
      <c r="B25" s="48" t="s">
        <v>262</v>
      </c>
      <c r="C25" s="10">
        <v>1937023</v>
      </c>
      <c r="D25" s="10">
        <v>2140148</v>
      </c>
      <c r="E25" s="11">
        <v>-9.5000000000000001E-2</v>
      </c>
      <c r="F25" s="12"/>
      <c r="G25" s="10">
        <v>-203125</v>
      </c>
    </row>
    <row r="26" spans="2:7">
      <c r="B26" s="23" t="s">
        <v>271</v>
      </c>
      <c r="C26" s="8">
        <v>-16627</v>
      </c>
      <c r="D26" s="8">
        <v>490549</v>
      </c>
      <c r="E26" s="9">
        <v>-1.034</v>
      </c>
      <c r="G26" s="8">
        <v>-507176</v>
      </c>
    </row>
    <row r="27" spans="2:7">
      <c r="B27" s="23" t="s">
        <v>264</v>
      </c>
      <c r="C27" s="8">
        <v>2888</v>
      </c>
      <c r="D27" s="8">
        <v>-87670</v>
      </c>
      <c r="E27" s="9">
        <v>-1.0329999999999999</v>
      </c>
      <c r="G27" s="8">
        <v>90558</v>
      </c>
    </row>
    <row r="28" spans="2:7">
      <c r="B28" s="23" t="s">
        <v>228</v>
      </c>
      <c r="C28" s="8">
        <v>-382066</v>
      </c>
      <c r="D28" s="8">
        <v>-694413</v>
      </c>
      <c r="E28" s="9">
        <v>-0.45</v>
      </c>
      <c r="G28" s="8">
        <v>312347</v>
      </c>
    </row>
    <row r="29" spans="2:7">
      <c r="B29" s="48" t="s">
        <v>265</v>
      </c>
      <c r="C29" s="297">
        <v>1541218</v>
      </c>
      <c r="D29" s="297">
        <v>1848614</v>
      </c>
      <c r="E29" s="11">
        <v>-0.16600000000000001</v>
      </c>
      <c r="F29" s="12"/>
      <c r="G29" s="10">
        <v>-307396</v>
      </c>
    </row>
    <row r="30" spans="2:7">
      <c r="C30" s="248">
        <v>0</v>
      </c>
      <c r="D30" s="248">
        <v>0</v>
      </c>
    </row>
    <row r="31" spans="2:7">
      <c r="C31" s="30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5"/>
  <dimension ref="A1:N39"/>
  <sheetViews>
    <sheetView showGridLines="0" workbookViewId="0">
      <selection activeCell="D5" sqref="D5"/>
    </sheetView>
  </sheetViews>
  <sheetFormatPr baseColWidth="10" defaultColWidth="11.44140625" defaultRowHeight="13.8"/>
  <cols>
    <col min="1" max="1" width="4" style="27" customWidth="1"/>
    <col min="2" max="2" width="25.44140625" style="27" bestFit="1" customWidth="1"/>
    <col min="3" max="16384" width="11.44140625" style="27"/>
  </cols>
  <sheetData>
    <row r="1" spans="1:14" ht="15" customHeight="1">
      <c r="A1" s="26" t="s">
        <v>204</v>
      </c>
    </row>
    <row r="3" spans="1:14" ht="14.4" thickBot="1">
      <c r="B3" s="2" t="s">
        <v>237</v>
      </c>
      <c r="C3" s="328" t="s">
        <v>340</v>
      </c>
      <c r="D3" s="328" t="s">
        <v>341</v>
      </c>
      <c r="E3" s="328" t="s">
        <v>178</v>
      </c>
      <c r="F3" s="7"/>
      <c r="G3" s="328" t="s">
        <v>338</v>
      </c>
    </row>
    <row r="4" spans="1:14" ht="15" customHeight="1">
      <c r="B4" s="4" t="s">
        <v>174</v>
      </c>
      <c r="C4" s="296">
        <f>+Resultado!F5</f>
        <v>0</v>
      </c>
      <c r="D4" s="296">
        <f>+Resultado!G5</f>
        <v>8296431</v>
      </c>
      <c r="E4" s="9">
        <f>+ROUND(G4/D4,3)</f>
        <v>-1</v>
      </c>
      <c r="F4" s="7"/>
      <c r="G4" s="8">
        <f>+C4-D4</f>
        <v>-8296431</v>
      </c>
    </row>
    <row r="5" spans="1:14" s="28" customFormat="1" ht="15" customHeight="1">
      <c r="B5" s="4" t="s">
        <v>187</v>
      </c>
      <c r="C5" s="296">
        <f>+Resultado!F6+Resultado!F7+Resultado!F10+Resultado!F9</f>
        <v>0</v>
      </c>
      <c r="D5" s="296">
        <f>+Resultado!G6+Resultado!G7+Resultado!G10+Resultado!G9</f>
        <v>-3918141</v>
      </c>
      <c r="E5" s="9">
        <f t="shared" ref="E5:E14" si="0">+ROUND(G5/D5,3)</f>
        <v>-1</v>
      </c>
      <c r="F5" s="7"/>
      <c r="G5" s="8">
        <f t="shared" ref="G5:G14" si="1">+C5-D5</f>
        <v>3918141</v>
      </c>
    </row>
    <row r="6" spans="1:14" s="28" customFormat="1" ht="15" customHeight="1">
      <c r="B6" s="5" t="s">
        <v>188</v>
      </c>
      <c r="C6" s="312">
        <f>SUM(C4:C5)</f>
        <v>0</v>
      </c>
      <c r="D6" s="312">
        <f>SUM(D4:D5)</f>
        <v>4378290</v>
      </c>
      <c r="E6" s="11">
        <f t="shared" si="0"/>
        <v>-1</v>
      </c>
      <c r="F6" s="12"/>
      <c r="G6" s="10">
        <f t="shared" si="1"/>
        <v>-4378290</v>
      </c>
    </row>
    <row r="7" spans="1:14" s="28" customFormat="1" ht="15" customHeight="1">
      <c r="B7" s="4" t="s">
        <v>189</v>
      </c>
      <c r="C7" s="296">
        <f>+Resultado!F8</f>
        <v>0</v>
      </c>
      <c r="D7" s="296">
        <f>+Resultado!G8</f>
        <v>-731407</v>
      </c>
      <c r="E7" s="9">
        <f t="shared" si="0"/>
        <v>-1</v>
      </c>
      <c r="F7" s="7"/>
      <c r="G7" s="8">
        <f t="shared" si="1"/>
        <v>731407</v>
      </c>
      <c r="L7" s="22"/>
      <c r="M7" s="22"/>
      <c r="N7" s="29"/>
    </row>
    <row r="8" spans="1:14" s="28" customFormat="1" ht="15" customHeight="1">
      <c r="B8" s="5" t="s">
        <v>190</v>
      </c>
      <c r="C8" s="312">
        <f>+C6+C7</f>
        <v>0</v>
      </c>
      <c r="D8" s="312">
        <f>+D6+D7</f>
        <v>3646883</v>
      </c>
      <c r="E8" s="11">
        <f t="shared" si="0"/>
        <v>-1</v>
      </c>
      <c r="F8" s="12"/>
      <c r="G8" s="10">
        <f t="shared" si="1"/>
        <v>-3646883</v>
      </c>
    </row>
    <row r="9" spans="1:14" s="28" customFormat="1" ht="15" customHeight="1">
      <c r="B9" s="4" t="s">
        <v>280</v>
      </c>
      <c r="C9" s="296">
        <f>+Resultado!F11</f>
        <v>0</v>
      </c>
      <c r="D9" s="296">
        <f>+Resultado!G11</f>
        <v>-3714737</v>
      </c>
      <c r="E9" s="9">
        <f t="shared" si="0"/>
        <v>-1</v>
      </c>
      <c r="F9" s="49"/>
      <c r="G9" s="8">
        <f t="shared" si="1"/>
        <v>3714737</v>
      </c>
    </row>
    <row r="10" spans="1:14" s="28" customFormat="1" ht="15" customHeight="1">
      <c r="B10" s="4" t="s">
        <v>301</v>
      </c>
      <c r="C10" s="296">
        <v>0</v>
      </c>
      <c r="D10" s="296">
        <v>0</v>
      </c>
      <c r="E10" s="9">
        <v>0</v>
      </c>
      <c r="F10" s="49"/>
      <c r="G10" s="8">
        <f t="shared" si="1"/>
        <v>0</v>
      </c>
    </row>
    <row r="11" spans="1:14" s="28" customFormat="1" ht="15" customHeight="1">
      <c r="B11" s="4" t="s">
        <v>191</v>
      </c>
      <c r="C11" s="296">
        <f>+Resultado!F13+Resultado!F14+Resultado!F16+Resultado!F17</f>
        <v>0</v>
      </c>
      <c r="D11" s="296">
        <f>+Resultado!G13+Resultado!G14+Resultado!G16+Resultado!G17</f>
        <v>-8981825</v>
      </c>
      <c r="E11" s="9">
        <f t="shared" si="0"/>
        <v>-1</v>
      </c>
      <c r="F11" s="7"/>
      <c r="G11" s="8">
        <f t="shared" si="1"/>
        <v>8981825</v>
      </c>
    </row>
    <row r="12" spans="1:14" s="28" customFormat="1" ht="15" customHeight="1">
      <c r="B12" s="4" t="s">
        <v>228</v>
      </c>
      <c r="C12" s="296">
        <f>Resultado!F20</f>
        <v>0</v>
      </c>
      <c r="D12" s="413">
        <f>Resultado!G20</f>
        <v>5061759</v>
      </c>
      <c r="E12" s="9">
        <f t="shared" si="0"/>
        <v>-1</v>
      </c>
      <c r="F12" s="7"/>
      <c r="G12" s="8">
        <f t="shared" si="1"/>
        <v>-5061759</v>
      </c>
    </row>
    <row r="13" spans="1:14" s="28" customFormat="1" ht="15" customHeight="1">
      <c r="B13" s="4" t="s">
        <v>337</v>
      </c>
      <c r="C13" s="296" t="e">
        <f>-Resultado!F27</f>
        <v>#N/A</v>
      </c>
      <c r="D13" s="413" t="e">
        <f>-Resultado!G27</f>
        <v>#N/A</v>
      </c>
      <c r="E13" s="9" t="e">
        <f t="shared" si="0"/>
        <v>#N/A</v>
      </c>
      <c r="F13" s="7"/>
      <c r="G13" s="8" t="e">
        <f t="shared" si="1"/>
        <v>#N/A</v>
      </c>
    </row>
    <row r="14" spans="1:14" s="28" customFormat="1" ht="15" customHeight="1">
      <c r="B14" s="5" t="s">
        <v>192</v>
      </c>
      <c r="C14" s="297" t="e">
        <f>+SUM(C8:C13)</f>
        <v>#N/A</v>
      </c>
      <c r="D14" s="412" t="e">
        <f>+SUM(D8:D13)</f>
        <v>#N/A</v>
      </c>
      <c r="E14" s="11" t="e">
        <f t="shared" si="0"/>
        <v>#N/A</v>
      </c>
      <c r="F14" s="12"/>
      <c r="G14" s="10" t="e">
        <f t="shared" si="1"/>
        <v>#N/A</v>
      </c>
    </row>
    <row r="15" spans="1:14" s="28" customFormat="1" ht="15" customHeight="1">
      <c r="C15" s="297" t="e">
        <f>+C14-Resultado!F26</f>
        <v>#N/A</v>
      </c>
      <c r="D15" s="297" t="e">
        <f>+D14-Resultado!G26</f>
        <v>#N/A</v>
      </c>
    </row>
    <row r="16" spans="1:14" s="28" customFormat="1" ht="15" customHeight="1"/>
    <row r="17" s="28" customFormat="1" ht="15" customHeight="1"/>
    <row r="18" s="28" customFormat="1" ht="15" customHeight="1"/>
    <row r="19" s="28" customFormat="1" ht="15" customHeight="1"/>
    <row r="20" s="28" customFormat="1" ht="15" customHeight="1"/>
    <row r="21" s="28" customFormat="1" ht="15" customHeight="1"/>
    <row r="22" s="28" customFormat="1" ht="15" customHeight="1"/>
    <row r="23" s="28" customFormat="1" ht="15" customHeight="1"/>
    <row r="24" s="28" customFormat="1" ht="15" customHeight="1"/>
    <row r="25" s="28" customFormat="1" ht="15" customHeight="1"/>
    <row r="26" s="28" customFormat="1" ht="15" customHeight="1"/>
    <row r="27" s="28" customFormat="1" ht="15" customHeight="1"/>
    <row r="28" s="28" customFormat="1" ht="15" customHeight="1"/>
    <row r="39" ht="1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B050"/>
    <pageSetUpPr fitToPage="1"/>
  </sheetPr>
  <dimension ref="A1:L31"/>
  <sheetViews>
    <sheetView showGridLines="0" workbookViewId="0"/>
  </sheetViews>
  <sheetFormatPr baseColWidth="10" defaultColWidth="0" defaultRowHeight="15" customHeight="1" zeroHeight="1"/>
  <cols>
    <col min="1" max="1" width="3.6640625" style="7" customWidth="1"/>
    <col min="2" max="2" width="49.44140625" style="7" customWidth="1"/>
    <col min="3" max="4" width="15.5546875" style="7" customWidth="1"/>
    <col min="5" max="5" width="10.5546875" style="7" customWidth="1"/>
    <col min="6" max="6" width="11.44140625" style="7" customWidth="1"/>
    <col min="7" max="12" width="0" style="7" hidden="1" customWidth="1"/>
    <col min="13" max="16384" width="11.44140625" style="7" hidden="1"/>
  </cols>
  <sheetData>
    <row r="1" spans="2:5" ht="15" customHeight="1"/>
    <row r="2" spans="2:5" ht="15" customHeight="1">
      <c r="B2" s="14"/>
      <c r="C2" s="14"/>
      <c r="D2" s="14"/>
      <c r="E2" s="14"/>
    </row>
    <row r="3" spans="2:5" ht="15" customHeight="1" thickBot="1">
      <c r="B3" s="17" t="s">
        <v>179</v>
      </c>
      <c r="C3" s="6" t="s">
        <v>368</v>
      </c>
      <c r="D3" s="6" t="s">
        <v>373</v>
      </c>
      <c r="E3" s="17" t="s">
        <v>178</v>
      </c>
    </row>
    <row r="4" spans="2:5" ht="12.75" customHeight="1">
      <c r="B4" s="4" t="s">
        <v>2</v>
      </c>
      <c r="C4" s="308">
        <v>383499751</v>
      </c>
      <c r="D4" s="308">
        <v>288702263</v>
      </c>
      <c r="E4" s="339">
        <v>0.32800000000000001</v>
      </c>
    </row>
    <row r="5" spans="2:5" ht="12.75" customHeight="1">
      <c r="B5" s="4" t="s">
        <v>3</v>
      </c>
      <c r="C5" s="308">
        <v>2741672504</v>
      </c>
      <c r="D5" s="308">
        <v>2729457072</v>
      </c>
      <c r="E5" s="339">
        <v>4.0000000000000001E-3</v>
      </c>
    </row>
    <row r="6" spans="2:5" ht="12.75" customHeight="1">
      <c r="B6" s="5" t="s">
        <v>72</v>
      </c>
      <c r="C6" s="414">
        <v>3125172255</v>
      </c>
      <c r="D6" s="414">
        <v>3018159335</v>
      </c>
      <c r="E6" s="415">
        <v>3.5000000000000003E-2</v>
      </c>
    </row>
    <row r="7" spans="2:5" ht="12.75" customHeight="1">
      <c r="B7" s="17" t="s">
        <v>209</v>
      </c>
      <c r="C7" s="337"/>
      <c r="D7" s="337"/>
      <c r="E7" s="338"/>
    </row>
    <row r="8" spans="2:5" ht="12.75" customHeight="1">
      <c r="B8" s="4" t="s">
        <v>0</v>
      </c>
      <c r="C8" s="308">
        <v>256247993</v>
      </c>
      <c r="D8" s="308">
        <v>351513489</v>
      </c>
      <c r="E8" s="339">
        <v>-0.27100000000000002</v>
      </c>
    </row>
    <row r="9" spans="2:5" ht="12.75" customHeight="1">
      <c r="B9" s="4" t="s">
        <v>1</v>
      </c>
      <c r="C9" s="308">
        <v>1528969101</v>
      </c>
      <c r="D9" s="308">
        <v>1374530378</v>
      </c>
      <c r="E9" s="339">
        <v>0.112</v>
      </c>
    </row>
    <row r="10" spans="2:5" ht="12.75" customHeight="1">
      <c r="B10" s="5" t="s">
        <v>73</v>
      </c>
      <c r="C10" s="414">
        <v>1785217094</v>
      </c>
      <c r="D10" s="414">
        <v>1726043867</v>
      </c>
      <c r="E10" s="415">
        <v>3.4000000000000002E-2</v>
      </c>
    </row>
    <row r="11" spans="2:5" ht="12.75" customHeight="1">
      <c r="B11" s="14"/>
      <c r="C11" s="337"/>
      <c r="D11" s="337"/>
      <c r="E11" s="338"/>
    </row>
    <row r="12" spans="2:5" ht="12.75" customHeight="1">
      <c r="B12" s="4" t="s">
        <v>94</v>
      </c>
      <c r="C12" s="308">
        <v>1339906403</v>
      </c>
      <c r="D12" s="308">
        <v>1292066950</v>
      </c>
      <c r="E12" s="339">
        <v>3.6999999999999998E-2</v>
      </c>
    </row>
    <row r="13" spans="2:5" ht="12.75" customHeight="1">
      <c r="B13" s="4" t="s">
        <v>95</v>
      </c>
      <c r="C13" s="308">
        <v>48758</v>
      </c>
      <c r="D13" s="308">
        <v>48518</v>
      </c>
      <c r="E13" s="339">
        <v>5.0000000000000001E-3</v>
      </c>
    </row>
    <row r="14" spans="2:5" ht="12.75" customHeight="1">
      <c r="B14" s="5" t="s">
        <v>207</v>
      </c>
      <c r="C14" s="414">
        <v>1339955161</v>
      </c>
      <c r="D14" s="414">
        <v>1292115468</v>
      </c>
      <c r="E14" s="415">
        <v>3.6999999999999998E-2</v>
      </c>
    </row>
    <row r="15" spans="2:5" ht="12.75" customHeight="1">
      <c r="B15" s="5" t="s">
        <v>180</v>
      </c>
      <c r="C15" s="414">
        <v>3125172255</v>
      </c>
      <c r="D15" s="414">
        <v>3018159335</v>
      </c>
      <c r="E15" s="415">
        <v>3.5000000000000003E-2</v>
      </c>
    </row>
    <row r="16" spans="2:5" ht="15" customHeight="1">
      <c r="B16" s="14"/>
      <c r="C16" s="14"/>
      <c r="D16" s="14"/>
      <c r="E16" s="14"/>
    </row>
    <row r="17" spans="2:5" ht="15" customHeight="1">
      <c r="C17" s="301">
        <v>0</v>
      </c>
      <c r="D17" s="301">
        <v>0</v>
      </c>
    </row>
    <row r="18" spans="2:5" ht="15" customHeight="1"/>
    <row r="19" spans="2:5" ht="15" customHeight="1">
      <c r="B19" s="343"/>
      <c r="C19" s="343"/>
      <c r="D19" s="343"/>
    </row>
    <row r="20" spans="2:5" ht="15" customHeight="1" thickBot="1">
      <c r="B20" s="341" t="s">
        <v>355</v>
      </c>
      <c r="C20" s="342" t="s">
        <v>368</v>
      </c>
      <c r="D20" s="342"/>
    </row>
    <row r="21" spans="2:5" ht="15" customHeight="1">
      <c r="B21" s="23" t="s">
        <v>381</v>
      </c>
      <c r="C21" s="18">
        <v>9433922</v>
      </c>
      <c r="D21" s="344"/>
      <c r="E21" s="329"/>
    </row>
    <row r="22" spans="2:5" ht="15" customHeight="1">
      <c r="B22" s="23" t="s">
        <v>382</v>
      </c>
      <c r="C22" s="18">
        <v>7928325</v>
      </c>
      <c r="D22" s="344"/>
      <c r="E22" s="329"/>
    </row>
    <row r="23" spans="2:5" ht="15" customHeight="1">
      <c r="B23" s="23" t="s">
        <v>383</v>
      </c>
      <c r="C23" s="18">
        <v>4482445</v>
      </c>
      <c r="D23" s="344"/>
      <c r="E23" s="329"/>
    </row>
    <row r="24" spans="2:5" ht="15" customHeight="1">
      <c r="B24" s="23" t="s">
        <v>384</v>
      </c>
      <c r="C24" s="18">
        <v>3198385</v>
      </c>
      <c r="D24" s="344"/>
      <c r="E24" s="329"/>
    </row>
    <row r="25" spans="2:5" ht="15" customHeight="1">
      <c r="B25" s="23" t="s">
        <v>385</v>
      </c>
      <c r="C25" s="18">
        <v>1841525</v>
      </c>
      <c r="D25" s="344"/>
      <c r="E25" s="329"/>
    </row>
    <row r="26" spans="2:5" ht="15" customHeight="1">
      <c r="B26" s="23" t="s">
        <v>386</v>
      </c>
      <c r="C26" s="18">
        <v>1786838</v>
      </c>
      <c r="D26" s="344"/>
      <c r="E26" s="329"/>
    </row>
    <row r="27" spans="2:5" ht="15" customHeight="1">
      <c r="B27" s="23" t="s">
        <v>331</v>
      </c>
      <c r="C27" s="18">
        <v>1583634</v>
      </c>
      <c r="D27" s="344"/>
      <c r="E27" s="329"/>
    </row>
    <row r="28" spans="2:5" ht="15" customHeight="1">
      <c r="B28" s="23" t="s">
        <v>387</v>
      </c>
      <c r="C28" s="18">
        <v>711254</v>
      </c>
      <c r="D28" s="344"/>
      <c r="E28" s="329"/>
    </row>
    <row r="29" spans="2:5" ht="15" customHeight="1">
      <c r="B29" s="23" t="s">
        <v>332</v>
      </c>
      <c r="C29" s="18">
        <v>4226030</v>
      </c>
      <c r="D29" s="344"/>
      <c r="E29" s="329"/>
    </row>
    <row r="30" spans="2:5" ht="15" customHeight="1">
      <c r="B30" s="23"/>
      <c r="C30" s="18"/>
    </row>
    <row r="31" spans="2:5" ht="15" customHeight="1">
      <c r="B31" s="372"/>
      <c r="C31" s="18"/>
    </row>
  </sheetData>
  <phoneticPr fontId="6" type="noConversion"/>
  <pageMargins left="0.74803149606299213" right="0.74803149606299213" top="0.98425196850393704" bottom="0.98425196850393704" header="0" footer="0"/>
  <pageSetup scale="96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50"/>
  </sheetPr>
  <dimension ref="A1:L61"/>
  <sheetViews>
    <sheetView showGridLines="0" zoomScaleNormal="100" workbookViewId="0"/>
  </sheetViews>
  <sheetFormatPr baseColWidth="10" defaultColWidth="0" defaultRowHeight="15" customHeight="1" zeroHeight="1"/>
  <cols>
    <col min="1" max="1" width="26.33203125" style="7" bestFit="1" customWidth="1"/>
    <col min="2" max="2" width="24.5546875" style="7" bestFit="1" customWidth="1"/>
    <col min="3" max="3" width="9.44140625" style="7" customWidth="1"/>
    <col min="4" max="4" width="14" style="7" bestFit="1" customWidth="1"/>
    <col min="5" max="7" width="10.6640625" style="7" customWidth="1"/>
    <col min="8" max="8" width="12.44140625" style="7" customWidth="1"/>
    <col min="9" max="9" width="11.44140625" style="7" customWidth="1"/>
    <col min="10" max="10" width="14.5546875" style="7" customWidth="1"/>
    <col min="11" max="11" width="11.44140625" style="7" customWidth="1"/>
    <col min="12" max="12" width="30.33203125" style="7" bestFit="1" customWidth="1"/>
    <col min="13" max="16384" width="11.44140625" style="7" hidden="1"/>
  </cols>
  <sheetData>
    <row r="1" spans="1:11" ht="15" customHeight="1">
      <c r="E1" s="30"/>
      <c r="F1" s="30"/>
      <c r="G1" s="30"/>
      <c r="H1" s="30"/>
    </row>
    <row r="2" spans="1:11" ht="18.75" customHeight="1" thickBot="1">
      <c r="B2" s="31" t="s">
        <v>255</v>
      </c>
      <c r="C2" s="32" t="s">
        <v>199</v>
      </c>
      <c r="D2" s="32" t="s">
        <v>200</v>
      </c>
      <c r="E2" s="32" t="s">
        <v>201</v>
      </c>
      <c r="F2" s="32" t="s">
        <v>210</v>
      </c>
      <c r="G2" s="32" t="s">
        <v>211</v>
      </c>
      <c r="H2" s="32" t="s">
        <v>212</v>
      </c>
    </row>
    <row r="3" spans="1:11" ht="15" customHeight="1">
      <c r="A3" s="335"/>
      <c r="B3" s="3" t="s">
        <v>202</v>
      </c>
      <c r="C3" s="33" t="s">
        <v>71</v>
      </c>
      <c r="D3" s="240">
        <v>165469453</v>
      </c>
      <c r="E3" s="241">
        <v>22560134</v>
      </c>
      <c r="F3" s="241">
        <v>43785758</v>
      </c>
      <c r="G3" s="241">
        <v>33920565</v>
      </c>
      <c r="H3" s="241">
        <v>65202996</v>
      </c>
    </row>
    <row r="4" spans="1:11" ht="15" customHeight="1">
      <c r="A4" s="335"/>
      <c r="B4" s="4" t="s">
        <v>372</v>
      </c>
      <c r="C4" s="33" t="s">
        <v>71</v>
      </c>
      <c r="D4" s="240">
        <v>1161252114</v>
      </c>
      <c r="E4" s="241">
        <v>15619330</v>
      </c>
      <c r="F4" s="241">
        <v>0</v>
      </c>
      <c r="G4" s="241">
        <v>106823388</v>
      </c>
      <c r="H4" s="241">
        <v>1038809396</v>
      </c>
    </row>
    <row r="5" spans="1:11" ht="15" customHeight="1">
      <c r="A5" s="335"/>
      <c r="B5" s="4" t="s">
        <v>231</v>
      </c>
      <c r="C5" s="33" t="s">
        <v>71</v>
      </c>
      <c r="D5" s="240">
        <v>105349084</v>
      </c>
      <c r="E5" s="241">
        <v>35664339</v>
      </c>
      <c r="F5" s="241">
        <v>39932000</v>
      </c>
      <c r="G5" s="241">
        <v>29752745</v>
      </c>
      <c r="H5" s="241">
        <v>0</v>
      </c>
    </row>
    <row r="6" spans="1:11" ht="13.8" hidden="1">
      <c r="A6" s="335"/>
      <c r="B6" s="4" t="s">
        <v>310</v>
      </c>
      <c r="C6" s="33" t="s">
        <v>71</v>
      </c>
      <c r="D6" s="240">
        <v>0</v>
      </c>
      <c r="E6" s="241">
        <v>0</v>
      </c>
      <c r="F6" s="241">
        <v>0</v>
      </c>
      <c r="G6" s="241">
        <v>0</v>
      </c>
      <c r="H6" s="241">
        <v>0</v>
      </c>
    </row>
    <row r="7" spans="1:11" ht="15" customHeight="1">
      <c r="B7" s="5" t="s">
        <v>298</v>
      </c>
      <c r="C7" s="33"/>
      <c r="D7" s="240">
        <v>1432070651</v>
      </c>
      <c r="E7" s="240">
        <v>73843803</v>
      </c>
      <c r="F7" s="240">
        <v>83717758</v>
      </c>
      <c r="G7" s="240">
        <v>170496698</v>
      </c>
      <c r="H7" s="240">
        <v>1104012392</v>
      </c>
    </row>
    <row r="8" spans="1:11" ht="15" customHeight="1">
      <c r="A8" s="335"/>
      <c r="B8" s="310" t="s">
        <v>275</v>
      </c>
      <c r="C8" s="311" t="s">
        <v>71</v>
      </c>
      <c r="D8" s="443">
        <v>6141910</v>
      </c>
      <c r="E8" s="444">
        <v>2410806</v>
      </c>
      <c r="F8" s="444">
        <v>3431200</v>
      </c>
      <c r="G8" s="444">
        <v>158774</v>
      </c>
      <c r="H8" s="444">
        <v>141130</v>
      </c>
    </row>
    <row r="9" spans="1:11" ht="15" customHeight="1" thickBot="1">
      <c r="A9" s="335"/>
      <c r="B9" s="5" t="s">
        <v>299</v>
      </c>
      <c r="C9" s="34"/>
      <c r="D9" s="445">
        <v>6141910</v>
      </c>
      <c r="E9" s="445">
        <v>2410806</v>
      </c>
      <c r="F9" s="445">
        <v>3431200</v>
      </c>
      <c r="G9" s="445">
        <v>158774</v>
      </c>
      <c r="H9" s="445">
        <v>141130</v>
      </c>
    </row>
    <row r="10" spans="1:11" ht="15" customHeight="1">
      <c r="B10" s="35" t="s">
        <v>208</v>
      </c>
      <c r="C10" s="14"/>
      <c r="D10" s="240">
        <v>1438212561</v>
      </c>
      <c r="E10" s="240">
        <v>76254609</v>
      </c>
      <c r="F10" s="240">
        <v>87148958</v>
      </c>
      <c r="G10" s="240">
        <v>170655472</v>
      </c>
      <c r="H10" s="240">
        <v>1104153522</v>
      </c>
    </row>
    <row r="11" spans="1:11" ht="15" customHeight="1">
      <c r="D11" s="340">
        <v>0</v>
      </c>
    </row>
    <row r="12" spans="1:11" ht="15" customHeight="1">
      <c r="B12" s="7" t="s">
        <v>239</v>
      </c>
      <c r="D12" s="21"/>
      <c r="E12" s="21"/>
      <c r="F12" s="7" t="s">
        <v>240</v>
      </c>
      <c r="G12" s="21"/>
      <c r="H12" s="21"/>
      <c r="J12" s="439"/>
      <c r="K12" s="439"/>
    </row>
    <row r="13" spans="1:11" ht="15" customHeight="1">
      <c r="B13" s="36" t="s">
        <v>202</v>
      </c>
      <c r="C13" s="411">
        <v>0.115</v>
      </c>
      <c r="D13" s="37">
        <v>165469453</v>
      </c>
      <c r="E13" s="36"/>
      <c r="F13" s="36" t="s">
        <v>214</v>
      </c>
      <c r="G13" s="334">
        <v>0.94799999999999995</v>
      </c>
      <c r="H13" s="37">
        <v>1363055477</v>
      </c>
      <c r="I13" s="335"/>
      <c r="J13" s="21"/>
      <c r="K13" s="21"/>
    </row>
    <row r="14" spans="1:11" ht="15" customHeight="1">
      <c r="B14" s="36" t="s">
        <v>230</v>
      </c>
      <c r="C14" s="411">
        <v>0.80800000000000005</v>
      </c>
      <c r="D14" s="37">
        <v>1161252114</v>
      </c>
      <c r="E14" s="36"/>
      <c r="F14" s="36" t="s">
        <v>213</v>
      </c>
      <c r="G14" s="334">
        <v>5.1999999999999998E-2</v>
      </c>
      <c r="H14" s="37">
        <v>75157084</v>
      </c>
      <c r="I14" s="335"/>
      <c r="J14" s="21"/>
      <c r="K14" s="21"/>
    </row>
    <row r="15" spans="1:11" ht="15" customHeight="1">
      <c r="B15" s="36" t="s">
        <v>231</v>
      </c>
      <c r="C15" s="411">
        <v>7.2999999999999995E-2</v>
      </c>
      <c r="D15" s="37">
        <v>105349084</v>
      </c>
      <c r="E15" s="36"/>
      <c r="F15" s="36"/>
      <c r="G15" s="336">
        <v>1</v>
      </c>
      <c r="H15" s="37">
        <v>1438212561</v>
      </c>
      <c r="J15" s="21"/>
      <c r="K15" s="21"/>
    </row>
    <row r="16" spans="1:11" ht="13.8">
      <c r="B16" s="36" t="s">
        <v>275</v>
      </c>
      <c r="C16" s="411">
        <v>4.0000000000000001E-3</v>
      </c>
      <c r="D16" s="37">
        <v>6141910</v>
      </c>
      <c r="G16" s="38"/>
    </row>
    <row r="17" spans="3:8" ht="15" customHeight="1">
      <c r="C17" s="333">
        <v>1</v>
      </c>
      <c r="D17" s="330"/>
      <c r="G17" s="39"/>
    </row>
    <row r="18" spans="3:8" ht="15" customHeight="1">
      <c r="C18" s="38"/>
      <c r="D18" s="21"/>
      <c r="E18" s="21"/>
      <c r="F18" s="21"/>
      <c r="G18" s="21"/>
      <c r="H18" s="21"/>
    </row>
    <row r="19" spans="3:8" ht="15" customHeight="1">
      <c r="C19" s="39"/>
      <c r="D19" s="21"/>
      <c r="E19" s="21"/>
      <c r="F19" s="21"/>
      <c r="G19" s="21"/>
      <c r="H19" s="21"/>
    </row>
    <row r="20" spans="3:8" ht="15" customHeight="1">
      <c r="D20" s="21"/>
    </row>
    <row r="21" spans="3:8" ht="15" customHeight="1">
      <c r="D21" s="21"/>
    </row>
    <row r="22" spans="3:8" ht="15" customHeight="1"/>
    <row r="23" spans="3:8" ht="15" customHeight="1"/>
    <row r="24" spans="3:8" ht="15" customHeight="1"/>
    <row r="25" spans="3:8" ht="15" customHeight="1"/>
    <row r="26" spans="3:8" ht="15" customHeight="1"/>
    <row r="27" spans="3:8" ht="15" customHeight="1"/>
    <row r="28" spans="3:8" ht="15" customHeight="1"/>
    <row r="29" spans="3:8" ht="15" customHeight="1"/>
    <row r="30" spans="3:8" ht="15" customHeight="1"/>
    <row r="31" spans="3:8" ht="15" customHeight="1"/>
    <row r="32" spans="3:8" ht="15" customHeight="1"/>
    <row r="33" spans="1:4" ht="15" customHeight="1"/>
    <row r="34" spans="1:4" ht="15" customHeight="1"/>
    <row r="35" spans="1:4" ht="15" customHeight="1"/>
    <row r="36" spans="1:4" ht="15" customHeight="1"/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>
      <c r="A43" s="116" t="s">
        <v>388</v>
      </c>
      <c r="B43" s="298">
        <v>75157084</v>
      </c>
      <c r="C43" s="388">
        <v>5.2299999999999999E-2</v>
      </c>
      <c r="D43" s="340">
        <v>0</v>
      </c>
    </row>
    <row r="44" spans="1:4" ht="15" customHeight="1">
      <c r="A44" s="116" t="s">
        <v>389</v>
      </c>
      <c r="B44" s="298">
        <v>30192000</v>
      </c>
      <c r="C44" s="388">
        <v>2.1000000000000001E-2</v>
      </c>
    </row>
    <row r="45" spans="1:4" ht="15" customHeight="1">
      <c r="A45" s="116" t="s">
        <v>230</v>
      </c>
      <c r="B45" s="298">
        <v>1148416233</v>
      </c>
      <c r="C45" s="388">
        <v>0.79849999999999999</v>
      </c>
      <c r="D45" s="340">
        <v>0</v>
      </c>
    </row>
    <row r="46" spans="1:4" ht="15" customHeight="1">
      <c r="A46" s="116" t="s">
        <v>390</v>
      </c>
      <c r="B46" s="298">
        <v>165469453</v>
      </c>
      <c r="C46" s="388">
        <v>0.11509999999999999</v>
      </c>
      <c r="D46" s="309">
        <v>0</v>
      </c>
    </row>
    <row r="47" spans="1:4" ht="15" customHeight="1">
      <c r="A47" s="116" t="s">
        <v>391</v>
      </c>
      <c r="B47" s="298">
        <v>12835881</v>
      </c>
      <c r="C47" s="388">
        <v>8.8000000000000005E-3</v>
      </c>
      <c r="D47" s="116"/>
    </row>
    <row r="48" spans="1:4" ht="13.8">
      <c r="A48" s="116" t="s">
        <v>392</v>
      </c>
      <c r="B48" s="298">
        <v>6141910</v>
      </c>
      <c r="C48" s="388">
        <v>4.3E-3</v>
      </c>
      <c r="D48" s="309">
        <v>0</v>
      </c>
    </row>
    <row r="49" spans="1:5" ht="15" customHeight="1">
      <c r="A49" s="116" t="s">
        <v>393</v>
      </c>
      <c r="B49" s="299">
        <v>1438212561</v>
      </c>
      <c r="C49" s="300">
        <v>1</v>
      </c>
      <c r="D49" s="309">
        <v>0</v>
      </c>
    </row>
    <row r="50" spans="1:5" ht="15" customHeight="1">
      <c r="A50" s="115"/>
      <c r="B50" s="299"/>
      <c r="C50" s="300"/>
    </row>
    <row r="51" spans="1:5" ht="15" customHeight="1">
      <c r="A51" s="115" t="s">
        <v>394</v>
      </c>
    </row>
    <row r="52" spans="1:5" ht="15" customHeight="1">
      <c r="A52" s="116" t="s">
        <v>214</v>
      </c>
      <c r="B52" s="116"/>
      <c r="C52" s="388">
        <v>0.94769999999999999</v>
      </c>
    </row>
    <row r="53" spans="1:5" ht="15" customHeight="1">
      <c r="A53" s="116" t="s">
        <v>213</v>
      </c>
      <c r="B53" s="116"/>
      <c r="C53" s="388">
        <v>5.2299999999999999E-2</v>
      </c>
      <c r="D53" s="38"/>
    </row>
    <row r="54" spans="1:5" ht="15" customHeight="1">
      <c r="A54" s="115" t="s">
        <v>195</v>
      </c>
      <c r="B54" s="115"/>
      <c r="C54" s="300">
        <v>1</v>
      </c>
      <c r="D54" s="38"/>
    </row>
    <row r="55" spans="1:5" ht="15" customHeight="1">
      <c r="A55" s="116" t="s">
        <v>395</v>
      </c>
      <c r="B55" s="116"/>
      <c r="C55" s="388">
        <v>2.1999999999999999E-2</v>
      </c>
      <c r="D55" s="38"/>
      <c r="E55" s="389"/>
    </row>
    <row r="56" spans="1:5" ht="15" customHeight="1">
      <c r="A56" s="116" t="s">
        <v>396</v>
      </c>
      <c r="B56" s="116"/>
      <c r="C56" s="388">
        <v>0.84299999999999997</v>
      </c>
    </row>
    <row r="57" spans="1:5" ht="15" customHeight="1">
      <c r="A57" s="116" t="s">
        <v>397</v>
      </c>
      <c r="B57" s="116"/>
      <c r="C57" s="388">
        <v>0.121</v>
      </c>
    </row>
    <row r="58" spans="1:5" ht="15" customHeight="1">
      <c r="A58" s="116" t="s">
        <v>391</v>
      </c>
      <c r="B58" s="116"/>
      <c r="C58" s="388">
        <v>8.9999999999999993E-3</v>
      </c>
    </row>
    <row r="59" spans="1:5" ht="15" customHeight="1">
      <c r="A59" s="116" t="s">
        <v>392</v>
      </c>
      <c r="B59" s="116"/>
      <c r="C59" s="388">
        <v>5.0000000000000001E-3</v>
      </c>
    </row>
    <row r="60" spans="1:5" ht="15" customHeight="1">
      <c r="A60" s="115" t="s">
        <v>195</v>
      </c>
      <c r="B60" s="115"/>
      <c r="C60" s="300">
        <v>1</v>
      </c>
    </row>
    <row r="61" spans="1:5" ht="15" customHeight="1">
      <c r="A61" s="116"/>
      <c r="B61" s="116"/>
      <c r="C61" s="11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B050"/>
    <pageSetUpPr fitToPage="1"/>
  </sheetPr>
  <dimension ref="A1:F18"/>
  <sheetViews>
    <sheetView showGridLines="0" workbookViewId="0"/>
  </sheetViews>
  <sheetFormatPr baseColWidth="10" defaultColWidth="0" defaultRowHeight="15" customHeight="1" zeroHeight="1"/>
  <cols>
    <col min="1" max="1" width="6" style="7" customWidth="1"/>
    <col min="2" max="2" width="33.44140625" style="7" customWidth="1"/>
    <col min="3" max="4" width="12" style="7" bestFit="1" customWidth="1"/>
    <col min="5" max="6" width="11.44140625" style="7" customWidth="1"/>
    <col min="7" max="16384" width="11.44140625" style="7" hidden="1"/>
  </cols>
  <sheetData>
    <row r="1" spans="2:5" ht="15" customHeight="1"/>
    <row r="2" spans="2:5" ht="15" customHeight="1"/>
    <row r="3" spans="2:5" ht="15" customHeight="1" thickBot="1">
      <c r="B3" s="19" t="s">
        <v>272</v>
      </c>
      <c r="C3" s="6" t="s">
        <v>368</v>
      </c>
      <c r="D3" s="6" t="s">
        <v>367</v>
      </c>
      <c r="E3" s="6" t="s">
        <v>178</v>
      </c>
    </row>
    <row r="4" spans="2:5" ht="15" customHeight="1">
      <c r="B4" s="4" t="s">
        <v>181</v>
      </c>
      <c r="C4" s="8">
        <v>76884847</v>
      </c>
      <c r="D4" s="8">
        <v>67651785</v>
      </c>
      <c r="E4" s="40">
        <v>0.13600000000000001</v>
      </c>
    </row>
    <row r="5" spans="2:5" ht="15" customHeight="1">
      <c r="B5" s="4" t="s">
        <v>182</v>
      </c>
      <c r="C5" s="8">
        <v>-44623087</v>
      </c>
      <c r="D5" s="8">
        <v>-60672904</v>
      </c>
      <c r="E5" s="40">
        <v>-0.26500000000000001</v>
      </c>
    </row>
    <row r="6" spans="2:5" ht="15" customHeight="1">
      <c r="B6" s="4" t="s">
        <v>183</v>
      </c>
      <c r="C6" s="8">
        <v>40976072</v>
      </c>
      <c r="D6" s="8">
        <v>-22692195</v>
      </c>
      <c r="E6" s="40">
        <v>-2.806</v>
      </c>
    </row>
    <row r="7" spans="2:5" ht="15" customHeight="1">
      <c r="B7" s="5" t="s">
        <v>254</v>
      </c>
      <c r="C7" s="10">
        <v>73237832</v>
      </c>
      <c r="D7" s="10">
        <v>-15713314</v>
      </c>
      <c r="E7" s="313">
        <v>-5.6609999999999996</v>
      </c>
    </row>
    <row r="8" spans="2:5" ht="15" customHeight="1">
      <c r="B8" s="5" t="s">
        <v>184</v>
      </c>
      <c r="C8" s="10">
        <v>181996263</v>
      </c>
      <c r="D8" s="10">
        <v>93443367</v>
      </c>
      <c r="E8" s="313">
        <v>0.94799999999999995</v>
      </c>
    </row>
    <row r="9" spans="2:5" ht="15" customHeight="1">
      <c r="C9" s="24">
        <v>0</v>
      </c>
      <c r="D9" s="24"/>
    </row>
    <row r="11" spans="2:5" ht="15" hidden="1" customHeight="1">
      <c r="C11" s="16"/>
    </row>
    <row r="12" spans="2:5" ht="15" hidden="1" customHeight="1">
      <c r="C12" s="16"/>
      <c r="D12" s="24"/>
    </row>
    <row r="13" spans="2:5" ht="15" hidden="1" customHeight="1">
      <c r="C13" s="16"/>
    </row>
    <row r="14" spans="2:5" ht="15" hidden="1" customHeight="1">
      <c r="C14" s="16"/>
    </row>
    <row r="15" spans="2:5" ht="15" hidden="1" customHeight="1">
      <c r="C15" s="16"/>
    </row>
    <row r="16" spans="2:5" ht="15" hidden="1" customHeight="1">
      <c r="C16" s="16"/>
    </row>
    <row r="17" spans="3:3" ht="15" hidden="1" customHeight="1">
      <c r="C17" s="16"/>
    </row>
    <row r="18" spans="3:3" ht="15" hidden="1" customHeight="1">
      <c r="C18" s="21"/>
    </row>
  </sheetData>
  <pageMargins left="0.74803149606299213" right="0.74803149606299213" top="0.98425196850393704" bottom="0.98425196850393704" header="0" footer="0"/>
  <pageSetup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B050"/>
    <pageSetUpPr fitToPage="1"/>
  </sheetPr>
  <dimension ref="A1:N17"/>
  <sheetViews>
    <sheetView showGridLines="0" workbookViewId="0"/>
  </sheetViews>
  <sheetFormatPr baseColWidth="10" defaultColWidth="0" defaultRowHeight="15" customHeight="1" zeroHeight="1"/>
  <cols>
    <col min="1" max="1" width="8" style="15" bestFit="1" customWidth="1"/>
    <col min="2" max="2" width="35.44140625" style="15" bestFit="1" customWidth="1"/>
    <col min="3" max="3" width="8.5546875" style="15" customWidth="1"/>
    <col min="4" max="5" width="13.5546875" style="15" customWidth="1"/>
    <col min="6" max="6" width="11.44140625" style="15" customWidth="1"/>
    <col min="7" max="14" width="0" style="15" hidden="1" customWidth="1"/>
    <col min="15" max="16384" width="11.44140625" style="15" hidden="1"/>
  </cols>
  <sheetData>
    <row r="1" spans="1:6" ht="15" customHeight="1"/>
    <row r="2" spans="1:6" ht="15" customHeight="1"/>
    <row r="3" spans="1:6" ht="15" customHeight="1" thickBot="1">
      <c r="B3" s="41"/>
      <c r="C3" s="32"/>
      <c r="D3" s="32" t="s">
        <v>368</v>
      </c>
      <c r="E3" s="32" t="s">
        <v>373</v>
      </c>
    </row>
    <row r="4" spans="1:6" ht="15" customHeight="1">
      <c r="B4" s="5" t="s">
        <v>64</v>
      </c>
      <c r="C4" s="4"/>
    </row>
    <row r="5" spans="1:6" ht="15" customHeight="1">
      <c r="A5" s="42"/>
      <c r="B5" s="4" t="s">
        <v>198</v>
      </c>
      <c r="C5" s="33" t="s">
        <v>65</v>
      </c>
      <c r="D5" s="43">
        <v>1.5</v>
      </c>
      <c r="E5" s="43">
        <v>0.82</v>
      </c>
      <c r="F5" s="44"/>
    </row>
    <row r="6" spans="1:6" ht="15" customHeight="1">
      <c r="A6" s="42"/>
      <c r="B6" s="4" t="s">
        <v>185</v>
      </c>
      <c r="C6" s="33" t="s">
        <v>65</v>
      </c>
      <c r="D6" s="43">
        <v>0.71</v>
      </c>
      <c r="E6" s="43">
        <v>0.31</v>
      </c>
      <c r="F6" s="44"/>
    </row>
    <row r="7" spans="1:6" ht="15" customHeight="1">
      <c r="B7" s="5" t="s">
        <v>66</v>
      </c>
      <c r="C7" s="4"/>
      <c r="D7" s="45"/>
      <c r="E7" s="45"/>
      <c r="F7" s="44"/>
    </row>
    <row r="8" spans="1:6" ht="15" customHeight="1">
      <c r="B8" s="4" t="s">
        <v>186</v>
      </c>
      <c r="C8" s="33" t="s">
        <v>65</v>
      </c>
      <c r="D8" s="43">
        <v>1.33</v>
      </c>
      <c r="E8" s="43">
        <v>1.34</v>
      </c>
      <c r="F8" s="44"/>
    </row>
    <row r="9" spans="1:6" ht="15" customHeight="1">
      <c r="A9" s="42"/>
      <c r="B9" s="4" t="s">
        <v>67</v>
      </c>
      <c r="C9" s="33" t="s">
        <v>65</v>
      </c>
      <c r="D9" s="43">
        <v>0.14349999999999999</v>
      </c>
      <c r="E9" s="43">
        <v>0.20369999999999999</v>
      </c>
      <c r="F9" s="44"/>
    </row>
    <row r="10" spans="1:6" ht="15" customHeight="1">
      <c r="A10" s="42"/>
      <c r="B10" s="4" t="s">
        <v>68</v>
      </c>
      <c r="C10" s="33" t="s">
        <v>65</v>
      </c>
      <c r="D10" s="43">
        <v>0.85650000000000004</v>
      </c>
      <c r="E10" s="43">
        <v>0.79630000000000001</v>
      </c>
      <c r="F10" s="44"/>
    </row>
    <row r="11" spans="1:6" ht="15" customHeight="1">
      <c r="A11" s="42"/>
      <c r="B11" s="4" t="s">
        <v>215</v>
      </c>
      <c r="C11" s="33" t="s">
        <v>65</v>
      </c>
      <c r="D11" s="43">
        <v>4.0999999999999996</v>
      </c>
      <c r="E11" s="43">
        <v>4.22</v>
      </c>
      <c r="F11" s="44"/>
    </row>
    <row r="12" spans="1:6" ht="15" customHeight="1">
      <c r="B12" s="5" t="s">
        <v>69</v>
      </c>
      <c r="C12" s="4"/>
      <c r="D12" s="45"/>
      <c r="E12" s="45"/>
      <c r="F12" s="44"/>
    </row>
    <row r="13" spans="1:6" s="4" customFormat="1" ht="24">
      <c r="A13" s="427"/>
      <c r="B13" s="46" t="s">
        <v>216</v>
      </c>
      <c r="C13" s="33" t="s">
        <v>70</v>
      </c>
      <c r="D13" s="43">
        <v>10.549999999999999</v>
      </c>
      <c r="E13" s="43">
        <v>11.42</v>
      </c>
      <c r="F13" s="45"/>
    </row>
    <row r="14" spans="1:6" ht="15" customHeight="1">
      <c r="A14" s="42"/>
      <c r="B14" s="4" t="s">
        <v>217</v>
      </c>
      <c r="C14" s="33" t="s">
        <v>70</v>
      </c>
      <c r="D14" s="43">
        <v>4.33</v>
      </c>
      <c r="E14" s="43">
        <v>4.5699999999999994</v>
      </c>
      <c r="F14" s="44"/>
    </row>
    <row r="15" spans="1:6" ht="15" customHeight="1">
      <c r="A15" s="42"/>
      <c r="B15" s="4" t="s">
        <v>218</v>
      </c>
      <c r="C15" s="33" t="s">
        <v>71</v>
      </c>
      <c r="D15" s="43">
        <v>19.670000000000002</v>
      </c>
      <c r="E15" s="43">
        <v>20.32</v>
      </c>
      <c r="F15" s="44"/>
    </row>
    <row r="16" spans="1:6" ht="15" customHeight="1">
      <c r="B16" s="4" t="s">
        <v>203</v>
      </c>
      <c r="C16" s="33" t="s">
        <v>70</v>
      </c>
      <c r="D16" s="43">
        <v>6.0699999999999994</v>
      </c>
      <c r="E16" s="43">
        <v>4.83</v>
      </c>
      <c r="F16" s="44"/>
    </row>
    <row r="17" ht="15" customHeight="1"/>
  </sheetData>
  <pageMargins left="0.74803149606299213" right="0.74803149606299213" top="0.98425196850393704" bottom="0.98425196850393704" header="0" footer="0"/>
  <pageSetup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00B050"/>
    <pageSetUpPr fitToPage="1"/>
  </sheetPr>
  <dimension ref="A1:V205"/>
  <sheetViews>
    <sheetView showGridLines="0" topLeftCell="A28" zoomScaleNormal="100" workbookViewId="0">
      <selection activeCell="D36" sqref="D36"/>
    </sheetView>
  </sheetViews>
  <sheetFormatPr baseColWidth="10" defaultColWidth="11.44140625" defaultRowHeight="15" customHeight="1"/>
  <cols>
    <col min="1" max="1" width="3.6640625" style="116" customWidth="1"/>
    <col min="2" max="2" width="39.6640625" style="116" customWidth="1"/>
    <col min="3" max="3" width="16.44140625" style="116" customWidth="1"/>
    <col min="4" max="4" width="18.6640625" style="116" bestFit="1" customWidth="1"/>
    <col min="5" max="6" width="18.5546875" style="116" bestFit="1" customWidth="1"/>
    <col min="7" max="7" width="17.44140625" style="116" customWidth="1"/>
    <col min="8" max="8" width="31.5546875" style="116" customWidth="1"/>
    <col min="9" max="9" width="7.33203125" style="116" customWidth="1"/>
    <col min="10" max="10" width="21" style="116" bestFit="1" customWidth="1"/>
    <col min="11" max="11" width="11.33203125" style="116" customWidth="1"/>
    <col min="12" max="12" width="17.6640625" style="116" customWidth="1"/>
    <col min="13" max="13" width="11.33203125" style="116" customWidth="1"/>
    <col min="14" max="14" width="1.5546875" style="116" customWidth="1"/>
    <col min="15" max="15" width="10.5546875" style="116" customWidth="1"/>
    <col min="16" max="16" width="11.5546875" style="117" customWidth="1"/>
    <col min="17" max="17" width="13.44140625" style="116" customWidth="1"/>
    <col min="18" max="18" width="11.6640625" style="116" bestFit="1" customWidth="1"/>
    <col min="19" max="16384" width="11.44140625" style="116"/>
  </cols>
  <sheetData>
    <row r="1" spans="2:22" ht="15" customHeight="1">
      <c r="B1" s="115" t="s">
        <v>176</v>
      </c>
    </row>
    <row r="2" spans="2:22" ht="15" customHeight="1">
      <c r="B2" s="115" t="s">
        <v>175</v>
      </c>
      <c r="K2" s="120"/>
      <c r="T2" s="118"/>
    </row>
    <row r="3" spans="2:22" ht="15" customHeight="1" thickBot="1">
      <c r="H3" s="119" t="s">
        <v>4</v>
      </c>
      <c r="J3" s="120"/>
      <c r="K3" s="120"/>
      <c r="L3" s="120"/>
      <c r="R3" s="121"/>
    </row>
    <row r="4" spans="2:22" ht="15" customHeight="1" thickBot="1">
      <c r="B4" s="122" t="s">
        <v>6</v>
      </c>
      <c r="C4" s="123"/>
      <c r="D4" s="124" t="s">
        <v>366</v>
      </c>
      <c r="E4" s="124" t="s">
        <v>364</v>
      </c>
      <c r="F4" s="124" t="s">
        <v>326</v>
      </c>
      <c r="H4" s="115" t="s">
        <v>5</v>
      </c>
      <c r="J4" s="125" t="str">
        <f>+D4</f>
        <v>Mar-25</v>
      </c>
      <c r="L4" s="125" t="str">
        <f>+E4</f>
        <v>Dic-24</v>
      </c>
      <c r="O4" s="126"/>
      <c r="R4" s="127"/>
      <c r="S4" s="127"/>
      <c r="T4" s="128"/>
      <c r="U4" s="127"/>
      <c r="V4" s="127"/>
    </row>
    <row r="5" spans="2:22" ht="15" customHeight="1" thickBot="1">
      <c r="B5" s="129"/>
      <c r="C5" s="130"/>
      <c r="D5" s="130"/>
      <c r="E5" s="131"/>
      <c r="F5" s="132"/>
      <c r="H5" s="133" t="s">
        <v>7</v>
      </c>
      <c r="J5" s="120"/>
      <c r="K5" s="120"/>
      <c r="M5" s="120"/>
      <c r="P5" s="134"/>
    </row>
    <row r="6" spans="2:22" ht="15" customHeight="1">
      <c r="B6" s="135" t="s">
        <v>47</v>
      </c>
      <c r="C6" s="136" t="s">
        <v>8</v>
      </c>
      <c r="D6" s="137">
        <f>+Balance!D15</f>
        <v>383499751</v>
      </c>
      <c r="E6" s="138">
        <f>+Balance!E15</f>
        <v>288702263</v>
      </c>
      <c r="F6" s="420">
        <f>+[1]Cálculos!$E$6</f>
        <v>275004410</v>
      </c>
      <c r="H6" s="115" t="s">
        <v>9</v>
      </c>
      <c r="J6" s="120"/>
      <c r="K6" s="120"/>
      <c r="M6" s="120"/>
      <c r="O6" s="139"/>
    </row>
    <row r="7" spans="2:22" ht="15" customHeight="1">
      <c r="B7" s="135" t="s">
        <v>48</v>
      </c>
      <c r="C7" s="136" t="s">
        <v>8</v>
      </c>
      <c r="D7" s="137">
        <f>+Balance!D26</f>
        <v>2741672504</v>
      </c>
      <c r="E7" s="138">
        <f>+Balance!E26</f>
        <v>2729457072</v>
      </c>
      <c r="F7" s="420">
        <f>+[1]Cálculos!$E$7</f>
        <v>2148343319</v>
      </c>
      <c r="H7" s="140" t="s">
        <v>45</v>
      </c>
      <c r="I7" s="116" t="s">
        <v>10</v>
      </c>
      <c r="J7" s="141">
        <f>+D6</f>
        <v>383499751</v>
      </c>
      <c r="K7" s="142">
        <f>ROUND(J7/J8,2)</f>
        <v>1.5</v>
      </c>
      <c r="L7" s="141">
        <f>+E6</f>
        <v>288702263</v>
      </c>
      <c r="M7" s="142">
        <f>ROUND(L7/L8,2)</f>
        <v>0.82</v>
      </c>
      <c r="N7" s="143"/>
      <c r="O7" s="144">
        <f>ROUND((K7/M7)-1,3)</f>
        <v>0.82899999999999996</v>
      </c>
      <c r="P7" s="145">
        <f>ROUND((J7/L7)-1,3)</f>
        <v>0.32800000000000001</v>
      </c>
      <c r="Q7" s="120">
        <f>+J7-L7</f>
        <v>94797488</v>
      </c>
    </row>
    <row r="8" spans="2:22" ht="15" customHeight="1">
      <c r="B8" s="146" t="s">
        <v>11</v>
      </c>
      <c r="C8" s="147"/>
      <c r="D8" s="148">
        <f>SUM(D6:D7)</f>
        <v>3125172255</v>
      </c>
      <c r="E8" s="149">
        <f>SUM(E6:E7)</f>
        <v>3018159335</v>
      </c>
      <c r="F8" s="425">
        <f>SUM(F6:F7)</f>
        <v>2423347729</v>
      </c>
      <c r="H8" s="116" t="s">
        <v>46</v>
      </c>
      <c r="J8" s="120">
        <f>+D10</f>
        <v>256247993</v>
      </c>
      <c r="K8" s="120"/>
      <c r="L8" s="120">
        <f>+E10</f>
        <v>351513489</v>
      </c>
      <c r="M8" s="120"/>
      <c r="O8" s="150"/>
      <c r="P8" s="145">
        <f>ROUND((J8/L8)-1,3)</f>
        <v>-0.27100000000000002</v>
      </c>
      <c r="Q8" s="120">
        <f>+J8-L8</f>
        <v>-95265496</v>
      </c>
    </row>
    <row r="9" spans="2:22" ht="15" customHeight="1">
      <c r="B9" s="135"/>
      <c r="C9" s="130"/>
      <c r="D9" s="137"/>
      <c r="E9" s="138"/>
      <c r="F9" s="420"/>
      <c r="H9" s="115" t="s">
        <v>12</v>
      </c>
      <c r="J9" s="120"/>
      <c r="K9" s="120"/>
      <c r="L9" s="120"/>
      <c r="M9" s="120"/>
      <c r="O9" s="151"/>
    </row>
    <row r="10" spans="2:22" ht="15" customHeight="1">
      <c r="B10" s="135" t="s">
        <v>50</v>
      </c>
      <c r="C10" s="136" t="s">
        <v>8</v>
      </c>
      <c r="D10" s="137">
        <f>+Balance!D44</f>
        <v>256247993</v>
      </c>
      <c r="E10" s="138">
        <f>+Balance!E44</f>
        <v>351513489</v>
      </c>
      <c r="F10" s="420">
        <f>+[1]Cálculos!$E$10</f>
        <v>361668126</v>
      </c>
      <c r="H10" s="140" t="s">
        <v>55</v>
      </c>
      <c r="I10" s="116" t="s">
        <v>10</v>
      </c>
      <c r="J10" s="141">
        <f>+D33</f>
        <v>181996263</v>
      </c>
      <c r="K10" s="142">
        <f>ROUND(J10/J11,2)</f>
        <v>0.71</v>
      </c>
      <c r="L10" s="141">
        <f>+Balance!E6</f>
        <v>108758431</v>
      </c>
      <c r="M10" s="142">
        <f>ROUND(L10/L11,2)</f>
        <v>0.31</v>
      </c>
      <c r="N10" s="143"/>
      <c r="O10" s="144">
        <f>ROUND((K10/M10)-1,4)</f>
        <v>1.2903</v>
      </c>
      <c r="P10" s="145">
        <f>ROUND((J10/L10)-1,3)</f>
        <v>0.67300000000000004</v>
      </c>
      <c r="Q10" s="120">
        <f>+J10-L10</f>
        <v>73237832</v>
      </c>
      <c r="R10" s="152"/>
    </row>
    <row r="11" spans="2:22" ht="15" customHeight="1" thickBot="1">
      <c r="B11" s="135" t="s">
        <v>49</v>
      </c>
      <c r="C11" s="136" t="s">
        <v>8</v>
      </c>
      <c r="D11" s="137">
        <f>+Balance!D54</f>
        <v>1528969101</v>
      </c>
      <c r="E11" s="138">
        <f>+Balance!E54</f>
        <v>1374530378</v>
      </c>
      <c r="F11" s="420">
        <f>+[1]Cálculos!$E$11</f>
        <v>1175540305</v>
      </c>
      <c r="H11" s="116" t="s">
        <v>46</v>
      </c>
      <c r="J11" s="120">
        <f>+D10</f>
        <v>256247993</v>
      </c>
      <c r="K11" s="120"/>
      <c r="L11" s="120">
        <f>+E10</f>
        <v>351513489</v>
      </c>
      <c r="M11" s="120"/>
      <c r="O11" s="150"/>
      <c r="P11" s="145">
        <f>ROUND((J11/L11)-1,3)</f>
        <v>-0.27100000000000002</v>
      </c>
      <c r="Q11" s="120">
        <f>+J11-L11</f>
        <v>-95265496</v>
      </c>
    </row>
    <row r="12" spans="2:22" ht="15" customHeight="1" thickBot="1">
      <c r="B12" s="135" t="s">
        <v>51</v>
      </c>
      <c r="C12" s="136" t="s">
        <v>8</v>
      </c>
      <c r="D12" s="137">
        <f>+Balance!D64</f>
        <v>48758</v>
      </c>
      <c r="E12" s="138">
        <f>+Balance!E64</f>
        <v>48518</v>
      </c>
      <c r="F12" s="420">
        <f>+[1]Cálculos!$E$12</f>
        <v>31468</v>
      </c>
      <c r="H12" s="133" t="s">
        <v>13</v>
      </c>
      <c r="J12" s="120"/>
      <c r="K12" s="120"/>
      <c r="L12" s="120"/>
      <c r="M12" s="120"/>
      <c r="O12" s="150"/>
    </row>
    <row r="13" spans="2:22" ht="15" customHeight="1">
      <c r="B13" s="135" t="s">
        <v>98</v>
      </c>
      <c r="C13" s="136" t="s">
        <v>8</v>
      </c>
      <c r="D13" s="137">
        <f>+Balance!D63</f>
        <v>1339906403</v>
      </c>
      <c r="E13" s="138">
        <f>+Balance!E63</f>
        <v>1292066950</v>
      </c>
      <c r="F13" s="420">
        <f>+[1]Cálculos!$E$13</f>
        <v>886107830</v>
      </c>
      <c r="H13" s="115" t="s">
        <v>14</v>
      </c>
      <c r="J13" s="120"/>
      <c r="K13" s="120"/>
      <c r="L13" s="120"/>
      <c r="M13" s="120"/>
      <c r="O13" s="150"/>
    </row>
    <row r="14" spans="2:22" ht="15" customHeight="1" thickBot="1">
      <c r="B14" s="153" t="s">
        <v>11</v>
      </c>
      <c r="C14" s="154"/>
      <c r="D14" s="155">
        <f>SUM(D10:D13)</f>
        <v>3125172255</v>
      </c>
      <c r="E14" s="156">
        <f>SUM(E10:E13)</f>
        <v>3018159335</v>
      </c>
      <c r="F14" s="426">
        <f>SUM(F10:F13)</f>
        <v>2423347729</v>
      </c>
      <c r="H14" s="140" t="s">
        <v>15</v>
      </c>
      <c r="I14" s="116" t="s">
        <v>10</v>
      </c>
      <c r="J14" s="141">
        <f>+D10+D11</f>
        <v>1785217094</v>
      </c>
      <c r="K14" s="157">
        <f>ROUND(J14/J15,2)</f>
        <v>1.33</v>
      </c>
      <c r="L14" s="141">
        <f>+E10+E11</f>
        <v>1726043867</v>
      </c>
      <c r="M14" s="157">
        <f>ROUND(L14/L15,2)</f>
        <v>1.34</v>
      </c>
      <c r="N14" s="158"/>
      <c r="O14" s="144">
        <f>ROUND((K14/M14)-1,4)</f>
        <v>-7.4999999999999997E-3</v>
      </c>
      <c r="P14" s="145">
        <f>ROUND((J14/L14)-1,3)</f>
        <v>3.4000000000000002E-2</v>
      </c>
      <c r="Q14" s="120">
        <f>+J14-L14</f>
        <v>59173227</v>
      </c>
    </row>
    <row r="15" spans="2:22" ht="15" customHeight="1" thickBot="1">
      <c r="B15" s="159"/>
      <c r="D15" s="160">
        <f>+D8-D14</f>
        <v>0</v>
      </c>
      <c r="E15" s="160">
        <f t="shared" ref="E15:F15" si="0">+E8-E14</f>
        <v>0</v>
      </c>
      <c r="F15" s="160">
        <f t="shared" si="0"/>
        <v>0</v>
      </c>
      <c r="H15" s="116" t="s">
        <v>96</v>
      </c>
      <c r="J15" s="120">
        <f>+D13+D12</f>
        <v>1339955161</v>
      </c>
      <c r="K15" s="120"/>
      <c r="L15" s="120">
        <f>+E13+E12</f>
        <v>1292115468</v>
      </c>
      <c r="M15" s="120"/>
      <c r="O15" s="150"/>
      <c r="P15" s="145">
        <f>ROUND((J15/L15)-1,3)</f>
        <v>3.6999999999999998E-2</v>
      </c>
      <c r="Q15" s="120">
        <f>+J15-L15</f>
        <v>47839693</v>
      </c>
    </row>
    <row r="16" spans="2:22" ht="15" customHeight="1">
      <c r="B16" s="122" t="s">
        <v>16</v>
      </c>
      <c r="C16" s="123"/>
      <c r="D16" s="161" t="str">
        <f>+$D$4</f>
        <v>Mar-25</v>
      </c>
      <c r="E16" s="161" t="s">
        <v>370</v>
      </c>
      <c r="F16" s="161" t="s">
        <v>364</v>
      </c>
      <c r="H16" s="115" t="s">
        <v>17</v>
      </c>
      <c r="J16" s="120"/>
      <c r="K16" s="120"/>
      <c r="L16" s="120"/>
      <c r="M16" s="120"/>
      <c r="O16" s="139"/>
    </row>
    <row r="17" spans="1:20" ht="15" customHeight="1">
      <c r="B17" s="129"/>
      <c r="C17" s="162"/>
      <c r="D17" s="163"/>
      <c r="E17" s="163"/>
      <c r="F17" s="164"/>
      <c r="H17" s="165" t="s">
        <v>46</v>
      </c>
      <c r="I17" s="116" t="s">
        <v>10</v>
      </c>
      <c r="J17" s="141">
        <f>+D10</f>
        <v>256247993</v>
      </c>
      <c r="K17" s="157">
        <f>ROUND(J17/J18,4)</f>
        <v>0.14349999999999999</v>
      </c>
      <c r="L17" s="141">
        <f>+E10</f>
        <v>351513489</v>
      </c>
      <c r="M17" s="157">
        <f>ROUND(L17/L18,4)</f>
        <v>0.20369999999999999</v>
      </c>
      <c r="N17" s="158"/>
      <c r="O17" s="144">
        <f>ROUND((K17/M17)-1,4)</f>
        <v>-0.29549999999999998</v>
      </c>
      <c r="P17" s="145">
        <f>ROUND((J17/L17)-1,3)</f>
        <v>-0.27100000000000002</v>
      </c>
      <c r="Q17" s="120">
        <f>+J17-L17</f>
        <v>-95265496</v>
      </c>
      <c r="R17" s="144"/>
    </row>
    <row r="18" spans="1:20" ht="15" customHeight="1">
      <c r="B18" s="135" t="s">
        <v>59</v>
      </c>
      <c r="C18" s="136" t="s">
        <v>8</v>
      </c>
      <c r="D18" s="163">
        <f>+C50</f>
        <v>197436623</v>
      </c>
      <c r="E18" s="163">
        <f>+D50</f>
        <v>189140192</v>
      </c>
      <c r="F18" s="416">
        <f>[2]Cálculos!D18</f>
        <v>662701294</v>
      </c>
      <c r="H18" s="116" t="s">
        <v>18</v>
      </c>
      <c r="J18" s="120">
        <f>+D10+D11</f>
        <v>1785217094</v>
      </c>
      <c r="K18" s="120"/>
      <c r="L18" s="120">
        <f>+E10+E11</f>
        <v>1726043867</v>
      </c>
      <c r="M18" s="120"/>
      <c r="O18" s="150"/>
      <c r="P18" s="145">
        <f>ROUND((J18/L18)-1,3)</f>
        <v>3.4000000000000002E-2</v>
      </c>
      <c r="Q18" s="120">
        <f>+J18-L18</f>
        <v>59173227</v>
      </c>
    </row>
    <row r="19" spans="1:20" ht="15" customHeight="1">
      <c r="B19" s="135" t="s">
        <v>60</v>
      </c>
      <c r="C19" s="136" t="s">
        <v>8</v>
      </c>
      <c r="D19" s="163">
        <f>-C51-C53-C55-C56-C52</f>
        <v>106608952</v>
      </c>
      <c r="E19" s="163">
        <f>-D51-D53-D55-D56-D52</f>
        <v>101959404</v>
      </c>
      <c r="F19" s="416">
        <f>[2]Cálculos!D19</f>
        <v>419485467</v>
      </c>
      <c r="H19" s="115" t="s">
        <v>19</v>
      </c>
      <c r="J19" s="120"/>
      <c r="K19" s="120"/>
      <c r="L19" s="120"/>
      <c r="M19" s="120"/>
      <c r="O19" s="139"/>
      <c r="P19" s="166"/>
      <c r="Q19" s="120"/>
      <c r="R19" s="150"/>
      <c r="T19" s="120"/>
    </row>
    <row r="20" spans="1:20" ht="15" customHeight="1">
      <c r="B20" s="129" t="s">
        <v>75</v>
      </c>
      <c r="C20" s="162" t="s">
        <v>8</v>
      </c>
      <c r="D20" s="167">
        <f>+C65</f>
        <v>63384896</v>
      </c>
      <c r="E20" s="167">
        <f>+D65</f>
        <v>72434575</v>
      </c>
      <c r="F20" s="417">
        <f>[2]Cálculos!D20</f>
        <v>158648372</v>
      </c>
      <c r="H20" s="165" t="s">
        <v>56</v>
      </c>
      <c r="I20" s="116" t="s">
        <v>10</v>
      </c>
      <c r="J20" s="141">
        <f>+D11</f>
        <v>1528969101</v>
      </c>
      <c r="K20" s="157">
        <f>ROUND(J20/J21,4)</f>
        <v>0.85650000000000004</v>
      </c>
      <c r="L20" s="141">
        <f>+E11</f>
        <v>1374530378</v>
      </c>
      <c r="M20" s="157">
        <f>ROUND(L20/L21,4)</f>
        <v>0.79630000000000001</v>
      </c>
      <c r="N20" s="158"/>
      <c r="O20" s="144">
        <f>ROUND((K20/M20)-1,4)</f>
        <v>7.5600000000000001E-2</v>
      </c>
      <c r="P20" s="145">
        <f>ROUND((J20/L20)-1,3)</f>
        <v>0.112</v>
      </c>
      <c r="Q20" s="120">
        <f>+J20-L20</f>
        <v>154438723</v>
      </c>
      <c r="R20" s="150"/>
      <c r="T20" s="120"/>
    </row>
    <row r="21" spans="1:20" ht="15" customHeight="1">
      <c r="B21" s="135" t="s">
        <v>22</v>
      </c>
      <c r="C21" s="136" t="s">
        <v>8</v>
      </c>
      <c r="D21" s="163">
        <f>+C59</f>
        <v>-14125412</v>
      </c>
      <c r="E21" s="163">
        <f>+D59</f>
        <v>-11555871</v>
      </c>
      <c r="F21" s="416">
        <f>[2]Cálculos!D21</f>
        <v>-49334397</v>
      </c>
      <c r="H21" s="116" t="s">
        <v>18</v>
      </c>
      <c r="J21" s="120">
        <f>+J18</f>
        <v>1785217094</v>
      </c>
      <c r="K21" s="120" t="s">
        <v>4</v>
      </c>
      <c r="L21" s="120">
        <f>+L18</f>
        <v>1726043867</v>
      </c>
      <c r="M21" s="120" t="s">
        <v>4</v>
      </c>
      <c r="O21" s="150"/>
      <c r="P21" s="145">
        <f>ROUND((J21/L21)-1,3)</f>
        <v>3.4000000000000002E-2</v>
      </c>
      <c r="Q21" s="120">
        <f>+J21-L21</f>
        <v>59173227</v>
      </c>
      <c r="T21" s="120"/>
    </row>
    <row r="22" spans="1:20" ht="15" customHeight="1">
      <c r="B22" s="135" t="s">
        <v>24</v>
      </c>
      <c r="C22" s="136" t="s">
        <v>8</v>
      </c>
      <c r="D22" s="163">
        <f>+J32</f>
        <v>98212352</v>
      </c>
      <c r="E22" s="163">
        <f>+L32</f>
        <v>290199344</v>
      </c>
      <c r="F22" s="416">
        <f>[2]Cálculos!D22</f>
        <v>290199344</v>
      </c>
      <c r="H22" s="115" t="s">
        <v>20</v>
      </c>
      <c r="J22" s="120"/>
      <c r="K22" s="120"/>
      <c r="L22" s="120"/>
      <c r="M22" s="120"/>
      <c r="O22" s="150"/>
      <c r="P22" s="168"/>
    </row>
    <row r="23" spans="1:20" ht="15" customHeight="1">
      <c r="B23" s="135" t="s">
        <v>25</v>
      </c>
      <c r="C23" s="136" t="s">
        <v>8</v>
      </c>
      <c r="D23" s="163">
        <f>+C70</f>
        <v>50921120</v>
      </c>
      <c r="E23" s="163">
        <f>+D70</f>
        <v>54909068</v>
      </c>
      <c r="F23" s="416">
        <f>[2]Cálculos!D23</f>
        <v>124339646</v>
      </c>
      <c r="H23" s="140" t="s">
        <v>21</v>
      </c>
      <c r="J23" s="141">
        <f>Anualizados!C13</f>
        <v>213058502</v>
      </c>
      <c r="K23" s="142">
        <f>ROUND(J23/J24,2)</f>
        <v>4.0999999999999996</v>
      </c>
      <c r="L23" s="141">
        <f>+F20-F21</f>
        <v>207982769</v>
      </c>
      <c r="M23" s="142">
        <f>ROUND(L23/L24,2)</f>
        <v>4.22</v>
      </c>
      <c r="N23" s="169"/>
      <c r="O23" s="144">
        <f>ROUND((K23/M23)-1,4)</f>
        <v>-2.8400000000000002E-2</v>
      </c>
      <c r="P23" s="145">
        <f>ROUND((J23/L23)-1,3)</f>
        <v>2.4E-2</v>
      </c>
      <c r="Q23" s="120">
        <f>+J23-L23</f>
        <v>5075733</v>
      </c>
    </row>
    <row r="24" spans="1:20" ht="15" customHeight="1" thickBot="1">
      <c r="B24" s="135" t="s">
        <v>26</v>
      </c>
      <c r="C24" s="136" t="s">
        <v>8</v>
      </c>
      <c r="D24" s="163">
        <f>+C66</f>
        <v>-12462821</v>
      </c>
      <c r="E24" s="163">
        <f>+D66</f>
        <v>-17524580</v>
      </c>
      <c r="F24" s="416">
        <f>[2]Cálculos!D24</f>
        <v>-34306718</v>
      </c>
      <c r="H24" s="116" t="s">
        <v>23</v>
      </c>
      <c r="J24" s="120">
        <f>Anualizados!C20</f>
        <v>51903938</v>
      </c>
      <c r="K24" s="170"/>
      <c r="L24" s="120">
        <f>-E59</f>
        <v>49334397</v>
      </c>
      <c r="M24" s="170"/>
      <c r="O24" s="120"/>
      <c r="P24" s="171">
        <f>ROUND((J24/L24)-1,3)</f>
        <v>5.1999999999999998E-2</v>
      </c>
      <c r="Q24" s="120">
        <f>+J24-L24</f>
        <v>2569541</v>
      </c>
      <c r="T24" s="158"/>
    </row>
    <row r="25" spans="1:20" ht="15" customHeight="1" thickBot="1">
      <c r="B25" s="172" t="s">
        <v>61</v>
      </c>
      <c r="C25" s="173" t="s">
        <v>8</v>
      </c>
      <c r="D25" s="174">
        <f>+C53</f>
        <v>-20703954</v>
      </c>
      <c r="E25" s="174">
        <f>+D53</f>
        <v>-19972547</v>
      </c>
      <c r="F25" s="418">
        <f>[2]Cálculos!D25</f>
        <v>-82220591</v>
      </c>
      <c r="H25" s="175" t="s">
        <v>27</v>
      </c>
      <c r="I25" s="176"/>
      <c r="J25" s="177"/>
      <c r="K25" s="177"/>
      <c r="L25" s="177"/>
      <c r="M25" s="177"/>
      <c r="N25" s="176"/>
      <c r="O25" s="178"/>
      <c r="P25" s="176"/>
    </row>
    <row r="26" spans="1:20" ht="15" customHeight="1" thickBot="1">
      <c r="C26" s="127"/>
      <c r="D26" s="179"/>
      <c r="E26" s="180"/>
      <c r="F26" s="179"/>
      <c r="H26" s="176" t="s">
        <v>57</v>
      </c>
      <c r="I26" s="176" t="s">
        <v>10</v>
      </c>
      <c r="J26" s="181">
        <f>+D23</f>
        <v>50921120</v>
      </c>
      <c r="K26" s="177"/>
      <c r="L26" s="181">
        <f>+F23</f>
        <v>124339646</v>
      </c>
      <c r="M26" s="177"/>
      <c r="N26" s="176"/>
      <c r="O26" s="178"/>
      <c r="P26" s="176">
        <v>1000</v>
      </c>
      <c r="R26" s="150"/>
    </row>
    <row r="27" spans="1:20" ht="15" customHeight="1">
      <c r="A27" s="182"/>
      <c r="B27" s="122" t="s">
        <v>74</v>
      </c>
      <c r="C27" s="123"/>
      <c r="D27" s="161" t="str">
        <f>+$D$4</f>
        <v>Mar-25</v>
      </c>
      <c r="E27" s="437" t="str">
        <f>+$E$16</f>
        <v>Mar-24</v>
      </c>
      <c r="F27" s="161" t="str">
        <f>+F16</f>
        <v>Dic-24</v>
      </c>
      <c r="H27" s="176" t="s">
        <v>29</v>
      </c>
      <c r="I27" s="176" t="s">
        <v>10</v>
      </c>
      <c r="J27" s="181">
        <f>-D24</f>
        <v>12462821</v>
      </c>
      <c r="K27" s="177"/>
      <c r="L27" s="181">
        <f>-F24</f>
        <v>34306718</v>
      </c>
      <c r="M27" s="177"/>
      <c r="N27" s="176"/>
      <c r="O27" s="178"/>
      <c r="P27" s="176"/>
      <c r="Q27" s="158"/>
      <c r="R27" s="150"/>
      <c r="T27" s="158"/>
    </row>
    <row r="28" spans="1:20" ht="15" customHeight="1">
      <c r="B28" s="135" t="s">
        <v>52</v>
      </c>
      <c r="C28" s="136" t="s">
        <v>8</v>
      </c>
      <c r="D28" s="183">
        <f>+Flujo!D22</f>
        <v>76884847</v>
      </c>
      <c r="E28" s="183">
        <f>+Flujo!E22</f>
        <v>67651785</v>
      </c>
      <c r="F28" s="416">
        <f>[2]Cálculos!D28</f>
        <v>282203771</v>
      </c>
      <c r="H28" s="176" t="s">
        <v>30</v>
      </c>
      <c r="I28" s="176" t="s">
        <v>10</v>
      </c>
      <c r="J28" s="181">
        <f>-D21</f>
        <v>14125412</v>
      </c>
      <c r="K28" s="177"/>
      <c r="L28" s="181">
        <f>-F21</f>
        <v>49334397</v>
      </c>
      <c r="M28" s="177"/>
      <c r="N28" s="177"/>
      <c r="O28" s="178"/>
      <c r="P28" s="177"/>
      <c r="Q28" s="120"/>
      <c r="R28" s="150"/>
      <c r="T28" s="120"/>
    </row>
    <row r="29" spans="1:20" ht="15" customHeight="1">
      <c r="A29" s="184"/>
      <c r="B29" s="135" t="s">
        <v>53</v>
      </c>
      <c r="C29" s="136" t="s">
        <v>8</v>
      </c>
      <c r="D29" s="183">
        <f>+Flujo!D47</f>
        <v>-44623087</v>
      </c>
      <c r="E29" s="183">
        <f>+Flujo!E47</f>
        <v>-60672904</v>
      </c>
      <c r="F29" s="416">
        <f>[2]Cálculos!D29</f>
        <v>-176341951</v>
      </c>
      <c r="H29" s="176" t="s">
        <v>62</v>
      </c>
      <c r="I29" s="176" t="s">
        <v>10</v>
      </c>
      <c r="J29" s="181">
        <f>-D25</f>
        <v>20703954</v>
      </c>
      <c r="K29" s="177"/>
      <c r="L29" s="181">
        <f>-F25</f>
        <v>82220591</v>
      </c>
      <c r="M29" s="177"/>
      <c r="N29" s="176"/>
      <c r="O29" s="178"/>
      <c r="P29" s="176"/>
      <c r="R29" s="150"/>
    </row>
    <row r="30" spans="1:20" ht="15" customHeight="1">
      <c r="A30" s="185"/>
      <c r="B30" s="135" t="s">
        <v>54</v>
      </c>
      <c r="C30" s="136" t="s">
        <v>8</v>
      </c>
      <c r="D30" s="183">
        <f>+Flujo!D64</f>
        <v>40976072</v>
      </c>
      <c r="E30" s="183">
        <f>+Flujo!E64</f>
        <v>-22692195</v>
      </c>
      <c r="F30" s="416">
        <f>[2]Cálculos!D30</f>
        <v>-106260070</v>
      </c>
      <c r="H30" s="176" t="s">
        <v>63</v>
      </c>
      <c r="I30" s="176" t="s">
        <v>10</v>
      </c>
      <c r="J30" s="181">
        <f>-C68</f>
        <v>-955</v>
      </c>
      <c r="K30" s="176"/>
      <c r="L30" s="181">
        <f>-E68</f>
        <v>-2008</v>
      </c>
      <c r="M30" s="176"/>
      <c r="N30" s="176"/>
      <c r="O30" s="178"/>
      <c r="P30" s="176"/>
      <c r="Q30" s="186"/>
      <c r="R30" s="150"/>
      <c r="T30" s="186"/>
    </row>
    <row r="31" spans="1:20" ht="15" customHeight="1">
      <c r="A31" s="185"/>
      <c r="B31" s="129" t="s">
        <v>28</v>
      </c>
      <c r="C31" s="136" t="s">
        <v>8</v>
      </c>
      <c r="D31" s="187">
        <f>SUM(D28:D30)</f>
        <v>73237832</v>
      </c>
      <c r="E31" s="187">
        <f>SUM(E28:E30)</f>
        <v>-15713314</v>
      </c>
      <c r="F31" s="417">
        <f>SUM(F28:F30)</f>
        <v>-398250</v>
      </c>
      <c r="H31" s="176" t="s">
        <v>33</v>
      </c>
      <c r="I31" s="176" t="s">
        <v>10</v>
      </c>
      <c r="J31" s="181">
        <v>0</v>
      </c>
      <c r="K31" s="177"/>
      <c r="L31" s="181">
        <v>0</v>
      </c>
      <c r="M31" s="177"/>
      <c r="N31" s="176"/>
      <c r="O31" s="178"/>
      <c r="P31" s="176"/>
      <c r="R31" s="150"/>
    </row>
    <row r="32" spans="1:20" ht="15" customHeight="1">
      <c r="A32" s="185"/>
      <c r="B32" s="135" t="s">
        <v>31</v>
      </c>
      <c r="C32" s="136" t="s">
        <v>8</v>
      </c>
      <c r="D32" s="183">
        <f>+Flujo!D69</f>
        <v>108758431</v>
      </c>
      <c r="E32" s="183">
        <f>+Flujo!E69</f>
        <v>109156681</v>
      </c>
      <c r="F32" s="416">
        <f t="shared" ref="F32" si="1">+E32</f>
        <v>109156681</v>
      </c>
      <c r="H32" s="188" t="s">
        <v>24</v>
      </c>
      <c r="I32" s="176"/>
      <c r="J32" s="189">
        <f>SUM(J26:J31)</f>
        <v>98212352</v>
      </c>
      <c r="K32" s="177"/>
      <c r="L32" s="189">
        <f>SUM(L26:L31)</f>
        <v>290199344</v>
      </c>
      <c r="M32" s="190">
        <f>ROUND((J32/L32)-1,4)</f>
        <v>-0.66159999999999997</v>
      </c>
      <c r="N32" s="177"/>
      <c r="O32" s="191"/>
      <c r="P32" s="176"/>
      <c r="R32" s="150"/>
    </row>
    <row r="33" spans="2:20" ht="15" customHeight="1" thickBot="1">
      <c r="B33" s="153" t="s">
        <v>32</v>
      </c>
      <c r="C33" s="192" t="s">
        <v>8</v>
      </c>
      <c r="D33" s="193">
        <f>+D32+D31</f>
        <v>181996263</v>
      </c>
      <c r="E33" s="193">
        <f>+E32+E31</f>
        <v>93443367</v>
      </c>
      <c r="F33" s="194">
        <f>+F32+F31</f>
        <v>108758431</v>
      </c>
      <c r="H33" s="188"/>
      <c r="I33" s="176"/>
      <c r="J33" s="177"/>
      <c r="K33" s="177"/>
      <c r="L33" s="177"/>
      <c r="M33" s="177"/>
      <c r="N33" s="177"/>
      <c r="O33" s="178"/>
      <c r="P33" s="176"/>
      <c r="Q33" s="195"/>
      <c r="R33" s="150"/>
      <c r="T33" s="195"/>
    </row>
    <row r="34" spans="2:20" ht="15" customHeight="1" thickBot="1">
      <c r="D34" s="387">
        <f>+D33-Balance!D6</f>
        <v>0</v>
      </c>
      <c r="E34" s="1"/>
      <c r="F34" s="387">
        <f>+F33-Balance!E6</f>
        <v>0</v>
      </c>
      <c r="H34" s="188"/>
      <c r="I34" s="176"/>
      <c r="J34" s="177"/>
      <c r="K34" s="196"/>
      <c r="L34" s="177"/>
      <c r="M34" s="196"/>
      <c r="N34" s="177"/>
      <c r="O34" s="191"/>
      <c r="P34" s="197"/>
      <c r="Q34" s="120"/>
      <c r="R34" s="150"/>
      <c r="T34" s="120"/>
    </row>
    <row r="35" spans="2:20" ht="15" customHeight="1">
      <c r="B35" s="198" t="s">
        <v>98</v>
      </c>
      <c r="C35" s="293" t="s">
        <v>374</v>
      </c>
      <c r="D35" s="436">
        <v>942232457</v>
      </c>
      <c r="E35" s="150" t="s">
        <v>379</v>
      </c>
      <c r="F35" s="150"/>
      <c r="H35" s="188" t="s">
        <v>58</v>
      </c>
      <c r="I35" s="176"/>
      <c r="J35" s="177">
        <f>+D18</f>
        <v>197436623</v>
      </c>
      <c r="K35" s="177"/>
      <c r="L35" s="177">
        <f>+E18</f>
        <v>189140192</v>
      </c>
      <c r="M35" s="177"/>
      <c r="N35" s="177"/>
      <c r="O35" s="176"/>
      <c r="P35" s="197">
        <f>ROUND((J35/L35)-1,4)</f>
        <v>4.3900000000000002E-2</v>
      </c>
      <c r="R35" s="150"/>
    </row>
    <row r="36" spans="2:20" ht="15" customHeight="1" thickBot="1">
      <c r="B36" s="199" t="s">
        <v>282</v>
      </c>
      <c r="C36" s="419" t="s">
        <v>374</v>
      </c>
      <c r="D36" s="435">
        <v>2427714484</v>
      </c>
      <c r="E36" s="150" t="s">
        <v>379</v>
      </c>
      <c r="F36" s="150"/>
      <c r="H36" s="115"/>
      <c r="J36" s="202"/>
      <c r="K36" s="120"/>
      <c r="L36" s="202"/>
      <c r="M36" s="120"/>
      <c r="N36" s="120"/>
      <c r="P36" s="120"/>
      <c r="R36" s="150"/>
    </row>
    <row r="37" spans="2:20" ht="15" customHeight="1" thickBot="1">
      <c r="B37" s="199"/>
      <c r="C37" s="200"/>
      <c r="D37" s="201"/>
      <c r="E37" s="150"/>
      <c r="F37" s="150"/>
      <c r="H37" s="133" t="s">
        <v>34</v>
      </c>
      <c r="J37" s="120"/>
      <c r="K37" s="120"/>
      <c r="L37" s="120"/>
      <c r="M37" s="120"/>
      <c r="P37" s="120"/>
      <c r="Q37" s="158"/>
      <c r="R37" s="158" t="s">
        <v>4</v>
      </c>
      <c r="T37" s="158"/>
    </row>
    <row r="38" spans="2:20" ht="15" customHeight="1">
      <c r="B38" s="199"/>
      <c r="C38" s="200"/>
      <c r="D38" s="203"/>
      <c r="E38" s="150"/>
      <c r="F38" s="150"/>
      <c r="H38" s="115" t="s">
        <v>35</v>
      </c>
      <c r="J38" s="120"/>
      <c r="K38" s="120"/>
      <c r="L38" s="120"/>
      <c r="M38" s="120"/>
      <c r="O38" s="204"/>
      <c r="P38" s="116"/>
      <c r="R38" s="150"/>
    </row>
    <row r="39" spans="2:20" ht="15" customHeight="1" thickBot="1">
      <c r="B39" s="205"/>
      <c r="C39" s="206"/>
      <c r="D39" s="207"/>
      <c r="H39" s="140" t="s">
        <v>36</v>
      </c>
      <c r="I39" s="116" t="s">
        <v>10</v>
      </c>
      <c r="J39" s="141">
        <f>Anualizados!C6</f>
        <v>120351698</v>
      </c>
      <c r="K39" s="157">
        <f>ROUND(J39/J40,4)*100</f>
        <v>10.549999999999999</v>
      </c>
      <c r="L39" s="141">
        <f>+E70</f>
        <v>124339646</v>
      </c>
      <c r="M39" s="157">
        <f>ROUND(L39/L40,4)*100</f>
        <v>11.42</v>
      </c>
      <c r="N39" s="158"/>
      <c r="O39" s="144">
        <f>ROUND((K39/M39)-1,4)</f>
        <v>-7.6200000000000004E-2</v>
      </c>
      <c r="P39" s="145">
        <f>ROUND((J39/L39)-1,3)</f>
        <v>-3.2000000000000001E-2</v>
      </c>
      <c r="Q39" s="120">
        <f>+J39-L39</f>
        <v>-3987948</v>
      </c>
      <c r="R39" s="208"/>
    </row>
    <row r="40" spans="2:20" ht="15" customHeight="1" thickBot="1">
      <c r="H40" s="116" t="s">
        <v>90</v>
      </c>
      <c r="I40" s="116" t="s">
        <v>4</v>
      </c>
      <c r="J40" s="120">
        <f>ROUND((D13+D35)/2,0)</f>
        <v>1141069430</v>
      </c>
      <c r="K40" s="120"/>
      <c r="L40" s="120">
        <f>ROUND((E13+F13)/2,0)</f>
        <v>1089087390</v>
      </c>
      <c r="M40" s="120"/>
      <c r="O40" s="208"/>
      <c r="P40" s="145">
        <f>ROUND((J40/L40)-1,3)</f>
        <v>4.8000000000000001E-2</v>
      </c>
      <c r="Q40" s="120">
        <f>+J40-L40</f>
        <v>51982040</v>
      </c>
      <c r="R40" s="150"/>
    </row>
    <row r="41" spans="2:20" ht="15" customHeight="1">
      <c r="B41" s="349" t="s">
        <v>273</v>
      </c>
      <c r="C41" s="440" t="s">
        <v>380</v>
      </c>
      <c r="D41" s="441" t="s">
        <v>365</v>
      </c>
      <c r="H41" s="115" t="s">
        <v>37</v>
      </c>
      <c r="J41" s="120"/>
      <c r="K41" s="120"/>
      <c r="L41" s="120"/>
      <c r="M41" s="120"/>
      <c r="O41" s="204"/>
      <c r="P41" s="209"/>
      <c r="Q41" s="208"/>
      <c r="R41" s="150"/>
    </row>
    <row r="42" spans="2:20" ht="15" customHeight="1">
      <c r="B42" s="346" t="s">
        <v>336</v>
      </c>
      <c r="C42" s="350">
        <v>14.46954</v>
      </c>
      <c r="D42" s="442">
        <v>14.46954</v>
      </c>
      <c r="H42" s="140" t="s">
        <v>36</v>
      </c>
      <c r="I42" s="116" t="s">
        <v>10</v>
      </c>
      <c r="J42" s="141">
        <f>+J39</f>
        <v>120351698</v>
      </c>
      <c r="K42" s="157">
        <f>ROUND(J42/J43,4)*100</f>
        <v>4.33</v>
      </c>
      <c r="L42" s="141">
        <f>+L39</f>
        <v>124339646</v>
      </c>
      <c r="M42" s="157">
        <f>ROUND(L42/L43,4)*100</f>
        <v>4.5699999999999994</v>
      </c>
      <c r="N42" s="158"/>
      <c r="O42" s="144">
        <f>ROUND((K42/M42)-1,4)</f>
        <v>-5.2499999999999998E-2</v>
      </c>
      <c r="P42" s="145">
        <f>ROUND((J42/L42)-1,3)</f>
        <v>-3.2000000000000001E-2</v>
      </c>
      <c r="Q42" s="120">
        <f>+J42-L42</f>
        <v>-3987948</v>
      </c>
    </row>
    <row r="43" spans="2:20" ht="15" customHeight="1">
      <c r="B43" s="346" t="s">
        <v>378</v>
      </c>
      <c r="C43" s="350">
        <v>6.3</v>
      </c>
      <c r="D43" s="442"/>
      <c r="H43" s="116" t="s">
        <v>38</v>
      </c>
      <c r="I43" s="116" t="s">
        <v>4</v>
      </c>
      <c r="J43" s="210">
        <f>ROUND((+D8+D36)/2,0)</f>
        <v>2776443370</v>
      </c>
      <c r="K43" s="120"/>
      <c r="L43" s="210">
        <f>ROUND((E8+F8)/2,0)</f>
        <v>2720753532</v>
      </c>
      <c r="M43" s="120"/>
      <c r="N43" s="170"/>
      <c r="O43" s="208"/>
      <c r="P43" s="145">
        <f>ROUND((J43/L43)-1,3)</f>
        <v>0.02</v>
      </c>
      <c r="Q43" s="120">
        <f>+J43-L43</f>
        <v>55689838</v>
      </c>
    </row>
    <row r="44" spans="2:20" ht="15" customHeight="1">
      <c r="B44" s="346"/>
      <c r="C44" s="350"/>
      <c r="D44" s="442"/>
      <c r="H44" s="115" t="s">
        <v>39</v>
      </c>
      <c r="J44" s="120"/>
      <c r="K44" s="120"/>
      <c r="L44" s="120"/>
      <c r="M44" s="120"/>
      <c r="P44" s="211"/>
    </row>
    <row r="45" spans="2:20" ht="15" customHeight="1">
      <c r="B45" s="346"/>
      <c r="C45" s="350"/>
      <c r="D45" s="442"/>
      <c r="H45" s="140" t="s">
        <v>40</v>
      </c>
      <c r="I45" s="116" t="s">
        <v>10</v>
      </c>
      <c r="J45" s="141">
        <f>+J42*1000</f>
        <v>120351698000</v>
      </c>
      <c r="K45" s="142">
        <f>ROUND(J45/J46,2)</f>
        <v>19.670000000000002</v>
      </c>
      <c r="L45" s="141">
        <f>+L39*1000</f>
        <v>124339646000</v>
      </c>
      <c r="M45" s="142">
        <f>ROUND(L45/L46,2)</f>
        <v>20.32</v>
      </c>
      <c r="N45" s="186"/>
      <c r="O45" s="144">
        <f>ROUND((K45/M45)-1,4)</f>
        <v>-3.2000000000000001E-2</v>
      </c>
      <c r="P45" s="145">
        <f>ROUND((J45/L45)-1,3)</f>
        <v>-3.2000000000000001E-2</v>
      </c>
    </row>
    <row r="46" spans="2:20" ht="15" customHeight="1" thickBot="1">
      <c r="B46" s="347"/>
      <c r="C46" s="351">
        <f>SUM(C42:C45)</f>
        <v>20.769539999999999</v>
      </c>
      <c r="D46" s="348">
        <f>SUM(D42:D45)</f>
        <v>14.46954</v>
      </c>
      <c r="E46" s="212"/>
      <c r="H46" s="116" t="s">
        <v>41</v>
      </c>
      <c r="J46" s="213">
        <v>6118965160</v>
      </c>
      <c r="K46" s="120"/>
      <c r="L46" s="213">
        <v>6118965160</v>
      </c>
      <c r="M46" s="120"/>
      <c r="P46" s="145">
        <f>ROUND((J46/L46)-1,3)</f>
        <v>0</v>
      </c>
    </row>
    <row r="47" spans="2:20" ht="15" customHeight="1">
      <c r="E47" s="212"/>
      <c r="M47" s="120"/>
      <c r="P47" s="145"/>
    </row>
    <row r="48" spans="2:20" ht="15" customHeight="1" thickBot="1">
      <c r="C48" s="214"/>
      <c r="D48" s="214"/>
      <c r="E48" s="214"/>
      <c r="H48" s="115" t="s">
        <v>42</v>
      </c>
      <c r="J48" s="120"/>
      <c r="K48" s="120"/>
      <c r="L48" s="215"/>
      <c r="M48" s="120"/>
      <c r="O48" s="204"/>
    </row>
    <row r="49" spans="2:16" ht="15" customHeight="1">
      <c r="B49" s="352" t="s">
        <v>177</v>
      </c>
      <c r="C49" s="353" t="str">
        <f>+$D$4</f>
        <v>Mar-25</v>
      </c>
      <c r="D49" s="353" t="s">
        <v>370</v>
      </c>
      <c r="E49" s="438" t="s">
        <v>364</v>
      </c>
      <c r="H49" s="140" t="s">
        <v>43</v>
      </c>
      <c r="I49" s="116" t="s">
        <v>10</v>
      </c>
      <c r="J49" s="216">
        <f>+C46</f>
        <v>20.769539999999999</v>
      </c>
      <c r="K49" s="157" t="e">
        <f>ROUND(J49/J50,4)*100</f>
        <v>#REF!</v>
      </c>
      <c r="L49" s="217">
        <f>+D46</f>
        <v>14.46954</v>
      </c>
      <c r="M49" s="157" t="e">
        <f>ROUND(L49/L50,4)*100</f>
        <v>#REF!</v>
      </c>
      <c r="N49" s="195"/>
      <c r="O49" s="144" t="e">
        <f>ROUND((K49/M49)-1,4)</f>
        <v>#REF!</v>
      </c>
      <c r="P49" s="145">
        <f>ROUND((J49/L49)-1,3)</f>
        <v>0.435</v>
      </c>
    </row>
    <row r="50" spans="2:16" ht="15" customHeight="1">
      <c r="B50" s="354" t="s">
        <v>99</v>
      </c>
      <c r="C50" s="163">
        <f>+Resultado!D5</f>
        <v>197436623</v>
      </c>
      <c r="D50" s="163">
        <f>+Resultado!E5</f>
        <v>189140192</v>
      </c>
      <c r="E50" s="421">
        <f>+[1]Cálculos!C50</f>
        <v>662701294</v>
      </c>
      <c r="F50" s="218"/>
      <c r="H50" s="116" t="s">
        <v>44</v>
      </c>
      <c r="J50" s="219" t="e">
        <f>+#REF!</f>
        <v>#REF!</v>
      </c>
      <c r="K50" s="170" t="s">
        <v>4</v>
      </c>
      <c r="L50" s="219" t="e">
        <f>+#REF!</f>
        <v>#REF!</v>
      </c>
      <c r="M50" s="170" t="s">
        <v>4</v>
      </c>
      <c r="N50" s="220"/>
      <c r="O50" s="208"/>
      <c r="P50" s="145" t="e">
        <f>ROUND((J50/L50)-1,3)</f>
        <v>#REF!</v>
      </c>
    </row>
    <row r="51" spans="2:16" ht="15" customHeight="1">
      <c r="B51" s="354" t="s">
        <v>100</v>
      </c>
      <c r="C51" s="163">
        <f>+Resultado!D6</f>
        <v>-22602691</v>
      </c>
      <c r="D51" s="163">
        <f>+Resultado!E6</f>
        <v>-21680487</v>
      </c>
      <c r="E51" s="421">
        <f>+[1]Cálculos!C51</f>
        <v>-82122248</v>
      </c>
      <c r="F51" s="218"/>
      <c r="P51" s="211"/>
    </row>
    <row r="52" spans="2:16" ht="15" customHeight="1">
      <c r="B52" s="354" t="s">
        <v>91</v>
      </c>
      <c r="C52" s="163">
        <f>+Resultado!D7</f>
        <v>-19862094</v>
      </c>
      <c r="D52" s="163">
        <f>+Resultado!E7</f>
        <v>-18746545</v>
      </c>
      <c r="E52" s="421">
        <f>+[1]Cálculos!C52</f>
        <v>-83142518</v>
      </c>
      <c r="F52" s="218"/>
      <c r="J52" s="214"/>
      <c r="M52" s="221"/>
    </row>
    <row r="53" spans="2:16" ht="15" customHeight="1">
      <c r="B53" s="354" t="s">
        <v>92</v>
      </c>
      <c r="C53" s="163">
        <f>+Resultado!D8</f>
        <v>-20703954</v>
      </c>
      <c r="D53" s="163">
        <f>+Resultado!E8</f>
        <v>-19972547</v>
      </c>
      <c r="E53" s="421">
        <f>+[1]Cálculos!C53</f>
        <v>-82220591</v>
      </c>
      <c r="F53" s="218"/>
      <c r="J53" s="214"/>
    </row>
    <row r="54" spans="2:16" ht="15" customHeight="1">
      <c r="B54" s="354" t="s">
        <v>357</v>
      </c>
      <c r="C54" s="163">
        <f>+Resultado!D15</f>
        <v>0</v>
      </c>
      <c r="D54" s="163">
        <f>+Resultado!E15</f>
        <v>0</v>
      </c>
      <c r="E54" s="421">
        <f>+[1]Cálculos!C54</f>
        <v>-216645</v>
      </c>
      <c r="F54" s="218"/>
      <c r="J54" s="214"/>
    </row>
    <row r="55" spans="2:16" ht="15" customHeight="1">
      <c r="B55" s="354" t="s">
        <v>101</v>
      </c>
      <c r="C55" s="163">
        <f>+Resultado!D9</f>
        <v>-2667391</v>
      </c>
      <c r="D55" s="163">
        <f>+Resultado!E9</f>
        <v>-4025436</v>
      </c>
      <c r="E55" s="421">
        <f>+[1]Cálculos!C55</f>
        <v>-7163962</v>
      </c>
      <c r="F55" s="218"/>
      <c r="P55" s="222"/>
    </row>
    <row r="56" spans="2:16" ht="15" customHeight="1">
      <c r="B56" s="354" t="s">
        <v>102</v>
      </c>
      <c r="C56" s="163">
        <f>+Resultado!D10</f>
        <v>-40772822</v>
      </c>
      <c r="D56" s="163">
        <f>+Resultado!E10</f>
        <v>-37534389</v>
      </c>
      <c r="E56" s="421">
        <f>+[1]Cálculos!C56</f>
        <v>-164836148</v>
      </c>
      <c r="F56" s="218"/>
    </row>
    <row r="57" spans="2:16" ht="15" customHeight="1">
      <c r="B57" s="355" t="s">
        <v>76</v>
      </c>
      <c r="C57" s="167">
        <f>SUM(C50:C56)</f>
        <v>90827671</v>
      </c>
      <c r="D57" s="167">
        <f>SUM(D50:D56)</f>
        <v>87180788</v>
      </c>
      <c r="E57" s="422">
        <f>SUM(E50:E56)</f>
        <v>242999182</v>
      </c>
      <c r="F57" s="218"/>
      <c r="H57" s="223"/>
      <c r="I57" s="224"/>
      <c r="J57" s="225"/>
      <c r="K57" s="225"/>
      <c r="L57" s="225"/>
      <c r="M57" s="225"/>
      <c r="O57" s="226"/>
      <c r="P57" s="227"/>
    </row>
    <row r="58" spans="2:16" ht="15" customHeight="1">
      <c r="B58" s="354" t="s">
        <v>77</v>
      </c>
      <c r="C58" s="163">
        <f>+Resultado!D13</f>
        <v>3274803</v>
      </c>
      <c r="D58" s="163">
        <f>+Resultado!E13</f>
        <v>2018035</v>
      </c>
      <c r="E58" s="421">
        <f>+[1]Cálculos!C58</f>
        <v>10052956</v>
      </c>
      <c r="F58" s="218"/>
      <c r="H58" s="223"/>
      <c r="I58" s="224"/>
      <c r="J58" s="225"/>
      <c r="K58" s="225"/>
      <c r="L58" s="225"/>
      <c r="M58" s="225"/>
      <c r="O58" s="228"/>
    </row>
    <row r="59" spans="2:16" ht="15" customHeight="1">
      <c r="B59" s="354" t="s">
        <v>78</v>
      </c>
      <c r="C59" s="163">
        <f>+Resultado!D14</f>
        <v>-14125412</v>
      </c>
      <c r="D59" s="163">
        <f>+Resultado!E14</f>
        <v>-11555871</v>
      </c>
      <c r="E59" s="421">
        <f>+[1]Cálculos!C59</f>
        <v>-49334397</v>
      </c>
      <c r="F59" s="218"/>
      <c r="H59" s="224"/>
      <c r="I59" s="224"/>
      <c r="J59" s="225"/>
      <c r="K59" s="229"/>
      <c r="L59" s="225"/>
      <c r="M59" s="229"/>
      <c r="N59" s="195"/>
      <c r="O59" s="230"/>
      <c r="P59" s="231"/>
    </row>
    <row r="60" spans="2:16" ht="15" customHeight="1">
      <c r="B60" s="354" t="s">
        <v>79</v>
      </c>
      <c r="C60" s="163">
        <f>+Resultado!D16</f>
        <v>-63524</v>
      </c>
      <c r="D60" s="163">
        <f>+Resultado!E16</f>
        <v>-12300</v>
      </c>
      <c r="E60" s="421">
        <f>+[1]Cálculos!C60</f>
        <v>349033</v>
      </c>
      <c r="F60" s="218"/>
      <c r="H60" s="224"/>
      <c r="I60" s="224"/>
      <c r="J60" s="225"/>
      <c r="K60" s="232"/>
      <c r="L60" s="225"/>
      <c r="M60" s="232"/>
      <c r="O60" s="228"/>
      <c r="P60" s="231"/>
    </row>
    <row r="61" spans="2:16" ht="15" customHeight="1">
      <c r="B61" s="354" t="s">
        <v>80</v>
      </c>
      <c r="C61" s="163">
        <f>+Resultado!D17</f>
        <v>-15964485</v>
      </c>
      <c r="D61" s="163">
        <f>+Resultado!E17</f>
        <v>-8346657</v>
      </c>
      <c r="E61" s="421">
        <f>+[1]Cálculos!C61</f>
        <v>-45945172</v>
      </c>
      <c r="F61" s="218"/>
      <c r="H61" s="223"/>
      <c r="I61" s="224"/>
      <c r="J61" s="225"/>
      <c r="K61" s="225"/>
      <c r="L61" s="225"/>
      <c r="M61" s="225"/>
      <c r="O61" s="228"/>
    </row>
    <row r="62" spans="2:16" ht="15" customHeight="1">
      <c r="B62" s="355" t="s">
        <v>81</v>
      </c>
      <c r="C62" s="167">
        <f>SUM(C58:C61)</f>
        <v>-26878618</v>
      </c>
      <c r="D62" s="167">
        <f>SUM(D58:D61)</f>
        <v>-17896793</v>
      </c>
      <c r="E62" s="422">
        <f>SUM(E58:E61)</f>
        <v>-84877580</v>
      </c>
      <c r="F62" s="218"/>
      <c r="H62" s="224"/>
      <c r="I62" s="233"/>
      <c r="J62" s="225"/>
      <c r="K62" s="229"/>
      <c r="L62" s="225"/>
      <c r="M62" s="229"/>
      <c r="N62" s="234"/>
      <c r="O62" s="230"/>
      <c r="P62" s="231"/>
    </row>
    <row r="63" spans="2:16" ht="15" customHeight="1">
      <c r="B63" s="354" t="s">
        <v>87</v>
      </c>
      <c r="C63" s="163">
        <f>+Resultado!D11</f>
        <v>-564157</v>
      </c>
      <c r="D63" s="163">
        <f>+Resultado!E11</f>
        <v>3150580</v>
      </c>
      <c r="E63" s="421">
        <f>+[1]Cálculos!C63</f>
        <v>526770</v>
      </c>
      <c r="F63" s="218"/>
      <c r="H63" s="224"/>
      <c r="I63" s="224"/>
      <c r="J63" s="225"/>
      <c r="K63" s="232"/>
      <c r="L63" s="225"/>
      <c r="M63" s="232"/>
      <c r="N63" s="120"/>
      <c r="O63" s="228"/>
      <c r="P63" s="231"/>
    </row>
    <row r="64" spans="2:16" ht="15" customHeight="1">
      <c r="B64" s="354" t="s">
        <v>82</v>
      </c>
      <c r="C64" s="163"/>
      <c r="D64" s="163"/>
      <c r="E64" s="421"/>
      <c r="F64" s="218"/>
      <c r="H64" s="115"/>
      <c r="J64" s="120"/>
      <c r="K64" s="120"/>
      <c r="L64" s="120"/>
      <c r="M64" s="120"/>
      <c r="O64" s="228"/>
    </row>
    <row r="65" spans="2:13" ht="15" customHeight="1">
      <c r="B65" s="355" t="s">
        <v>83</v>
      </c>
      <c r="C65" s="167">
        <f>+C57+C62+C63+C64</f>
        <v>63384896</v>
      </c>
      <c r="D65" s="167">
        <f>+D57+D62+D63+D64</f>
        <v>72434575</v>
      </c>
      <c r="E65" s="422">
        <f>+E57+E62+E63+E64</f>
        <v>158648372</v>
      </c>
      <c r="F65" s="218"/>
      <c r="L65" s="235"/>
    </row>
    <row r="66" spans="2:13" ht="15" customHeight="1">
      <c r="B66" s="354" t="s">
        <v>84</v>
      </c>
      <c r="C66" s="163">
        <f>+Resultado!D20</f>
        <v>-12462821</v>
      </c>
      <c r="D66" s="163">
        <f>+Resultado!E20</f>
        <v>-17524580</v>
      </c>
      <c r="E66" s="421">
        <f>+[1]Cálculos!C66</f>
        <v>-34306718</v>
      </c>
      <c r="F66" s="218"/>
      <c r="K66" s="236"/>
      <c r="M66" s="236"/>
    </row>
    <row r="67" spans="2:13" ht="15" customHeight="1">
      <c r="B67" s="354" t="s">
        <v>293</v>
      </c>
      <c r="C67" s="163">
        <f>+Resultado!D22</f>
        <v>0</v>
      </c>
      <c r="D67" s="163">
        <f>+Resultado!E22</f>
        <v>0</v>
      </c>
      <c r="E67" s="421">
        <f>+[1]Cálculos!C67</f>
        <v>0</v>
      </c>
      <c r="F67" s="218"/>
      <c r="K67" s="236"/>
      <c r="M67" s="236"/>
    </row>
    <row r="68" spans="2:13" ht="15" customHeight="1">
      <c r="B68" s="354" t="s">
        <v>85</v>
      </c>
      <c r="C68" s="163">
        <f>+Resultado!D27</f>
        <v>955</v>
      </c>
      <c r="D68" s="163">
        <f>+Resultado!E27</f>
        <v>927</v>
      </c>
      <c r="E68" s="421">
        <f>+[1]Cálculos!C68</f>
        <v>2008</v>
      </c>
      <c r="F68" s="218"/>
    </row>
    <row r="69" spans="2:13" ht="15" customHeight="1">
      <c r="B69" s="356" t="s">
        <v>88</v>
      </c>
      <c r="C69" s="359">
        <f>+C65+C66+C67</f>
        <v>50922075</v>
      </c>
      <c r="D69" s="359">
        <f>+D65+D66+D67</f>
        <v>54909995</v>
      </c>
      <c r="E69" s="423">
        <f>+E65+E66+E67</f>
        <v>124341654</v>
      </c>
      <c r="F69" s="218"/>
    </row>
    <row r="70" spans="2:13" ht="15" customHeight="1" thickBot="1">
      <c r="B70" s="357" t="s">
        <v>86</v>
      </c>
      <c r="C70" s="358">
        <f>+C69-C68</f>
        <v>50921120</v>
      </c>
      <c r="D70" s="358">
        <f t="shared" ref="D70:E70" si="2">+D69-D68</f>
        <v>54909068</v>
      </c>
      <c r="E70" s="424">
        <f t="shared" si="2"/>
        <v>124339646</v>
      </c>
      <c r="F70" s="218"/>
    </row>
    <row r="71" spans="2:13" ht="15" customHeight="1">
      <c r="D71" s="218"/>
    </row>
    <row r="72" spans="2:13" ht="15" customHeight="1">
      <c r="D72" s="218"/>
    </row>
    <row r="73" spans="2:13" ht="15" customHeight="1">
      <c r="D73" s="218"/>
    </row>
    <row r="74" spans="2:13" ht="15" customHeight="1">
      <c r="C74" s="237"/>
    </row>
    <row r="77" spans="2:13" ht="15" customHeight="1">
      <c r="C77" s="218"/>
    </row>
    <row r="101" spans="10:14" ht="15" customHeight="1">
      <c r="J101" s="238"/>
      <c r="K101" s="238"/>
      <c r="M101" s="238"/>
      <c r="N101" s="238"/>
    </row>
    <row r="102" spans="10:14" ht="15" customHeight="1">
      <c r="J102" s="238"/>
      <c r="K102" s="238"/>
      <c r="M102" s="238"/>
      <c r="N102" s="238"/>
    </row>
    <row r="103" spans="10:14" ht="15" customHeight="1">
      <c r="J103" s="238"/>
      <c r="K103" s="238"/>
      <c r="M103" s="238"/>
      <c r="N103" s="238"/>
    </row>
    <row r="104" spans="10:14" ht="15" customHeight="1">
      <c r="J104" s="238"/>
      <c r="K104" s="238"/>
      <c r="M104" s="238"/>
      <c r="N104" s="238"/>
    </row>
    <row r="105" spans="10:14" ht="15" customHeight="1">
      <c r="J105" s="238"/>
      <c r="K105" s="238"/>
      <c r="M105" s="238"/>
      <c r="N105" s="238"/>
    </row>
    <row r="106" spans="10:14" ht="15" customHeight="1">
      <c r="J106" s="238"/>
      <c r="K106" s="238"/>
      <c r="M106" s="238"/>
      <c r="N106" s="238"/>
    </row>
    <row r="107" spans="10:14" ht="15" customHeight="1">
      <c r="J107" s="238"/>
      <c r="K107" s="238"/>
      <c r="L107" s="238"/>
      <c r="M107" s="238"/>
      <c r="N107" s="238"/>
    </row>
    <row r="108" spans="10:14" ht="15" customHeight="1">
      <c r="J108" s="238"/>
      <c r="K108" s="238"/>
      <c r="L108" s="238"/>
      <c r="M108" s="238"/>
      <c r="N108" s="238"/>
    </row>
    <row r="109" spans="10:14" ht="15" customHeight="1">
      <c r="J109" s="238"/>
      <c r="K109" s="238"/>
      <c r="L109" s="238"/>
      <c r="M109" s="238"/>
    </row>
    <row r="110" spans="10:14" ht="15" customHeight="1">
      <c r="J110" s="238"/>
      <c r="K110" s="238"/>
      <c r="L110" s="238"/>
      <c r="M110" s="238"/>
    </row>
    <row r="111" spans="10:14" ht="15" customHeight="1">
      <c r="J111" s="238"/>
      <c r="K111" s="238"/>
      <c r="L111" s="238"/>
      <c r="M111" s="238"/>
    </row>
    <row r="112" spans="10:14" ht="15" customHeight="1">
      <c r="J112" s="238"/>
      <c r="K112" s="238"/>
      <c r="L112" s="238"/>
      <c r="M112" s="238"/>
    </row>
    <row r="113" spans="10:13" ht="15" customHeight="1">
      <c r="J113" s="238"/>
      <c r="K113" s="238"/>
      <c r="L113" s="238"/>
      <c r="M113" s="238"/>
    </row>
    <row r="114" spans="10:13" ht="15" customHeight="1">
      <c r="J114" s="238"/>
      <c r="K114" s="238"/>
      <c r="L114" s="238"/>
      <c r="M114" s="238"/>
    </row>
    <row r="115" spans="10:13" ht="15" customHeight="1">
      <c r="J115" s="238"/>
      <c r="K115" s="238"/>
      <c r="L115" s="238"/>
      <c r="M115" s="238"/>
    </row>
    <row r="116" spans="10:13" ht="15" customHeight="1">
      <c r="J116" s="238"/>
      <c r="K116" s="238"/>
      <c r="L116" s="238"/>
      <c r="M116" s="238"/>
    </row>
    <row r="117" spans="10:13" ht="15" customHeight="1">
      <c r="J117" s="238"/>
      <c r="K117" s="238"/>
      <c r="L117" s="238"/>
      <c r="M117" s="238"/>
    </row>
    <row r="118" spans="10:13" ht="15" customHeight="1">
      <c r="J118" s="238"/>
      <c r="K118" s="238"/>
      <c r="L118" s="238"/>
      <c r="M118" s="238"/>
    </row>
    <row r="119" spans="10:13" ht="15" customHeight="1">
      <c r="J119" s="238"/>
      <c r="K119" s="238"/>
      <c r="L119" s="238"/>
      <c r="M119" s="238"/>
    </row>
    <row r="120" spans="10:13" ht="15" customHeight="1">
      <c r="J120" s="238"/>
      <c r="K120" s="238"/>
      <c r="L120" s="238"/>
      <c r="M120" s="238"/>
    </row>
    <row r="121" spans="10:13" ht="15" customHeight="1">
      <c r="J121" s="238"/>
      <c r="K121" s="238"/>
      <c r="L121" s="238"/>
      <c r="M121" s="238"/>
    </row>
    <row r="122" spans="10:13" ht="15" customHeight="1">
      <c r="J122" s="238"/>
      <c r="K122" s="238"/>
      <c r="L122" s="238"/>
      <c r="M122" s="238"/>
    </row>
    <row r="123" spans="10:13" ht="15" customHeight="1">
      <c r="J123" s="238"/>
      <c r="K123" s="238"/>
      <c r="M123" s="238"/>
    </row>
    <row r="124" spans="10:13" ht="15" customHeight="1">
      <c r="J124" s="238"/>
      <c r="K124" s="238"/>
      <c r="L124" s="238"/>
      <c r="M124" s="238"/>
    </row>
    <row r="125" spans="10:13" ht="15" customHeight="1">
      <c r="J125" s="238"/>
      <c r="K125" s="238"/>
      <c r="L125" s="238"/>
      <c r="M125" s="238"/>
    </row>
    <row r="126" spans="10:13" ht="15" customHeight="1">
      <c r="J126" s="238"/>
      <c r="K126" s="238"/>
      <c r="L126" s="238"/>
      <c r="M126" s="238"/>
    </row>
    <row r="127" spans="10:13" ht="15" customHeight="1">
      <c r="J127" s="238"/>
      <c r="K127" s="238"/>
      <c r="L127" s="238"/>
      <c r="M127" s="238"/>
    </row>
    <row r="128" spans="10:13" ht="15" customHeight="1">
      <c r="J128" s="238"/>
      <c r="K128" s="238"/>
      <c r="L128" s="238"/>
      <c r="M128" s="238"/>
    </row>
    <row r="129" spans="10:13" ht="15" customHeight="1">
      <c r="J129" s="238"/>
      <c r="K129" s="238"/>
      <c r="L129" s="238"/>
      <c r="M129" s="238"/>
    </row>
    <row r="130" spans="10:13" ht="15" customHeight="1">
      <c r="J130" s="238"/>
      <c r="K130" s="238"/>
      <c r="L130" s="238"/>
      <c r="M130" s="238"/>
    </row>
    <row r="131" spans="10:13" ht="15" customHeight="1">
      <c r="J131" s="238"/>
      <c r="K131" s="238"/>
      <c r="M131" s="238"/>
    </row>
    <row r="132" spans="10:13" ht="15" customHeight="1">
      <c r="J132" s="238"/>
      <c r="K132" s="238"/>
      <c r="M132" s="238"/>
    </row>
    <row r="133" spans="10:13" ht="15" customHeight="1">
      <c r="J133" s="238"/>
      <c r="K133" s="238"/>
      <c r="M133" s="238"/>
    </row>
    <row r="134" spans="10:13" ht="15" customHeight="1">
      <c r="J134" s="238"/>
      <c r="K134" s="238"/>
      <c r="M134" s="238"/>
    </row>
    <row r="135" spans="10:13" ht="15" customHeight="1">
      <c r="J135" s="238"/>
      <c r="K135" s="238"/>
      <c r="M135" s="238"/>
    </row>
    <row r="136" spans="10:13" ht="15" customHeight="1">
      <c r="J136" s="238"/>
      <c r="K136" s="238"/>
      <c r="M136" s="238"/>
    </row>
    <row r="137" spans="10:13" ht="15" customHeight="1">
      <c r="J137" s="238"/>
      <c r="K137" s="238"/>
      <c r="M137" s="238"/>
    </row>
    <row r="138" spans="10:13" ht="15" customHeight="1">
      <c r="J138" s="238"/>
      <c r="K138" s="238"/>
      <c r="M138" s="238"/>
    </row>
    <row r="139" spans="10:13" ht="15" customHeight="1">
      <c r="J139" s="238"/>
      <c r="K139" s="238"/>
      <c r="M139" s="238"/>
    </row>
    <row r="140" spans="10:13" ht="15" customHeight="1">
      <c r="J140" s="238"/>
      <c r="K140" s="238"/>
      <c r="M140" s="238"/>
    </row>
    <row r="141" spans="10:13" ht="15" customHeight="1">
      <c r="J141" s="238"/>
      <c r="K141" s="238"/>
      <c r="M141" s="238"/>
    </row>
    <row r="142" spans="10:13" ht="15" customHeight="1">
      <c r="J142" s="238"/>
      <c r="K142" s="238"/>
      <c r="M142" s="238"/>
    </row>
    <row r="143" spans="10:13" ht="15" customHeight="1">
      <c r="J143" s="238"/>
      <c r="K143" s="238"/>
      <c r="M143" s="238"/>
    </row>
    <row r="144" spans="10:13" ht="15" customHeight="1">
      <c r="J144" s="238"/>
      <c r="K144" s="238"/>
      <c r="M144" s="238"/>
    </row>
    <row r="145" spans="10:13" ht="15" customHeight="1">
      <c r="J145" s="238"/>
      <c r="K145" s="238"/>
      <c r="M145" s="238"/>
    </row>
    <row r="146" spans="10:13" ht="15" customHeight="1">
      <c r="J146" s="238"/>
      <c r="K146" s="238"/>
      <c r="M146" s="238"/>
    </row>
    <row r="147" spans="10:13" ht="15" customHeight="1">
      <c r="J147" s="238"/>
      <c r="K147" s="238"/>
      <c r="M147" s="238"/>
    </row>
    <row r="148" spans="10:13" ht="15" customHeight="1">
      <c r="J148" s="238"/>
      <c r="K148" s="238"/>
      <c r="M148" s="238"/>
    </row>
    <row r="149" spans="10:13" ht="15" customHeight="1">
      <c r="J149" s="208"/>
      <c r="K149" s="238"/>
      <c r="M149" s="238"/>
    </row>
    <row r="150" spans="10:13" ht="15" customHeight="1">
      <c r="J150" s="238"/>
      <c r="K150" s="238"/>
      <c r="M150" s="238"/>
    </row>
    <row r="151" spans="10:13" ht="15" customHeight="1">
      <c r="J151" s="238"/>
      <c r="K151" s="238"/>
      <c r="M151" s="238"/>
    </row>
    <row r="152" spans="10:13" ht="15" customHeight="1">
      <c r="J152" s="238"/>
      <c r="K152" s="238"/>
      <c r="M152" s="238"/>
    </row>
    <row r="153" spans="10:13" ht="15" customHeight="1">
      <c r="J153" s="238"/>
      <c r="K153" s="238"/>
      <c r="M153" s="238"/>
    </row>
    <row r="154" spans="10:13" ht="15" customHeight="1">
      <c r="J154" s="238"/>
      <c r="K154" s="238"/>
      <c r="L154" s="204"/>
      <c r="M154" s="238"/>
    </row>
    <row r="155" spans="10:13" ht="15" customHeight="1">
      <c r="J155" s="238"/>
      <c r="K155" s="238"/>
      <c r="L155" s="204"/>
      <c r="M155" s="238"/>
    </row>
    <row r="156" spans="10:13" ht="15" customHeight="1">
      <c r="J156" s="238"/>
      <c r="K156" s="238"/>
      <c r="L156" s="204"/>
      <c r="M156" s="238"/>
    </row>
    <row r="157" spans="10:13" ht="15" customHeight="1">
      <c r="J157" s="238"/>
      <c r="K157" s="238"/>
      <c r="L157" s="204"/>
      <c r="M157" s="238"/>
    </row>
    <row r="158" spans="10:13" ht="15" customHeight="1">
      <c r="J158" s="238"/>
      <c r="K158" s="238"/>
      <c r="L158" s="204"/>
      <c r="M158" s="238"/>
    </row>
    <row r="159" spans="10:13" ht="15" customHeight="1">
      <c r="J159" s="238"/>
      <c r="K159" s="238"/>
      <c r="L159" s="204"/>
      <c r="M159" s="238"/>
    </row>
    <row r="160" spans="10:13" ht="15" customHeight="1">
      <c r="J160" s="238"/>
      <c r="K160" s="238"/>
      <c r="L160" s="204"/>
      <c r="M160" s="238"/>
    </row>
    <row r="161" spans="10:13" ht="15" customHeight="1">
      <c r="J161" s="238"/>
      <c r="K161" s="238"/>
      <c r="L161" s="204"/>
      <c r="M161" s="238"/>
    </row>
    <row r="162" spans="10:13" ht="15" customHeight="1">
      <c r="L162" s="204"/>
    </row>
    <row r="163" spans="10:13" ht="15" customHeight="1">
      <c r="L163" s="204"/>
    </row>
    <row r="164" spans="10:13" ht="15" customHeight="1">
      <c r="L164" s="204"/>
    </row>
    <row r="165" spans="10:13" ht="15" customHeight="1">
      <c r="L165" s="204"/>
    </row>
    <row r="166" spans="10:13" ht="15" customHeight="1">
      <c r="L166" s="204"/>
    </row>
    <row r="185" spans="10:13" ht="15" customHeight="1">
      <c r="L185" s="118"/>
    </row>
    <row r="187" spans="10:13" ht="15" customHeight="1">
      <c r="J187" s="238"/>
      <c r="K187" s="238"/>
      <c r="L187" s="238"/>
      <c r="M187" s="238"/>
    </row>
    <row r="188" spans="10:13" ht="15" customHeight="1">
      <c r="J188" s="238"/>
      <c r="K188" s="238"/>
      <c r="L188" s="238"/>
      <c r="M188" s="238"/>
    </row>
    <row r="189" spans="10:13" ht="15" customHeight="1">
      <c r="J189" s="238"/>
      <c r="K189" s="238"/>
      <c r="L189" s="238"/>
      <c r="M189" s="238"/>
    </row>
    <row r="190" spans="10:13" ht="15" customHeight="1">
      <c r="J190" s="238"/>
      <c r="K190" s="238"/>
      <c r="L190" s="238"/>
      <c r="M190" s="238"/>
    </row>
    <row r="191" spans="10:13" ht="15" customHeight="1">
      <c r="J191" s="238"/>
      <c r="K191" s="238"/>
      <c r="L191" s="238"/>
      <c r="M191" s="238"/>
    </row>
    <row r="192" spans="10:13" ht="15" customHeight="1">
      <c r="J192" s="238"/>
      <c r="K192" s="238"/>
      <c r="L192" s="238"/>
      <c r="M192" s="238"/>
    </row>
    <row r="193" spans="10:13" ht="15" customHeight="1">
      <c r="J193" s="238"/>
      <c r="K193" s="238"/>
      <c r="L193" s="238"/>
      <c r="M193" s="238"/>
    </row>
    <row r="194" spans="10:13" ht="15" customHeight="1">
      <c r="J194" s="238"/>
      <c r="K194" s="238"/>
      <c r="L194" s="238"/>
      <c r="M194" s="238"/>
    </row>
    <row r="195" spans="10:13" ht="15" customHeight="1">
      <c r="J195" s="238"/>
      <c r="K195" s="238"/>
      <c r="L195" s="238"/>
      <c r="M195" s="238"/>
    </row>
    <row r="196" spans="10:13" ht="15" customHeight="1">
      <c r="J196" s="238"/>
      <c r="K196" s="238"/>
      <c r="L196" s="238"/>
      <c r="M196" s="238"/>
    </row>
    <row r="197" spans="10:13" ht="15" customHeight="1">
      <c r="J197" s="238"/>
      <c r="K197" s="238"/>
      <c r="M197" s="238"/>
    </row>
    <row r="198" spans="10:13" ht="15" customHeight="1">
      <c r="J198" s="238"/>
      <c r="K198" s="238"/>
      <c r="M198" s="238"/>
    </row>
    <row r="199" spans="10:13" ht="15" customHeight="1">
      <c r="J199" s="238"/>
      <c r="K199" s="238"/>
      <c r="M199" s="238"/>
    </row>
    <row r="200" spans="10:13" ht="15" customHeight="1">
      <c r="J200" s="238"/>
      <c r="K200" s="238"/>
      <c r="M200" s="238"/>
    </row>
    <row r="201" spans="10:13" ht="15" customHeight="1">
      <c r="J201" s="238"/>
      <c r="K201" s="238"/>
      <c r="M201" s="238"/>
    </row>
    <row r="202" spans="10:13" ht="15" customHeight="1">
      <c r="J202" s="238"/>
      <c r="K202" s="238"/>
      <c r="M202" s="238"/>
    </row>
    <row r="203" spans="10:13" ht="15" customHeight="1">
      <c r="J203" s="238"/>
      <c r="K203" s="238"/>
      <c r="M203" s="238"/>
    </row>
    <row r="204" spans="10:13" ht="15" customHeight="1">
      <c r="J204" s="238"/>
      <c r="K204" s="238"/>
      <c r="M204" s="238"/>
    </row>
    <row r="205" spans="10:13" ht="15" customHeight="1">
      <c r="J205" s="238"/>
      <c r="K205" s="238"/>
      <c r="M205" s="238"/>
    </row>
  </sheetData>
  <phoneticPr fontId="0" type="noConversion"/>
  <printOptions horizontalCentered="1" verticalCentered="1"/>
  <pageMargins left="0.75" right="0.75" top="0.39370078740157483" bottom="0.19685039370078741" header="0" footer="0"/>
  <pageSetup orientation="portrait" r:id="rId1"/>
  <headerFooter alignWithMargins="0">
    <oddFooter>&amp;R&amp;D  -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7" ma:contentTypeDescription="Crear nuevo documento." ma:contentTypeScope="" ma:versionID="7e2e5608a7e968abfe2455bc9482a851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8a17d8d054f5090b88c033361721ed11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a483f-becd-4601-9da5-7224441603e2">
      <Terms xmlns="http://schemas.microsoft.com/office/infopath/2007/PartnerControls"/>
    </lcf76f155ced4ddcb4097134ff3c332f>
    <TaxCatchAll xmlns="2667b352-ea57-489e-a59a-7ce1cbaae621" xsi:nil="true"/>
  </documentManagement>
</p:properties>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customXml/itemProps2.xml><?xml version="1.0" encoding="utf-8"?>
<ds:datastoreItem xmlns:ds="http://schemas.openxmlformats.org/officeDocument/2006/customXml" ds:itemID="{A1206A64-2D14-41EB-BC6A-FE1D30888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FBB213-B7E8-4AE0-BC67-F60BC9EC93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01EAF6E-9C6C-429B-B704-84A71B6891CF}">
  <ds:schemaRefs>
    <ds:schemaRef ds:uri="http://schemas.microsoft.com/office/2006/metadata/properties"/>
    <ds:schemaRef ds:uri="http://schemas.microsoft.com/office/infopath/2007/PartnerControls"/>
    <ds:schemaRef ds:uri="cdaa483f-becd-4601-9da5-7224441603e2"/>
    <ds:schemaRef ds:uri="2667b352-ea57-489e-a59a-7ce1cbaae6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Resultados</vt:lpstr>
      <vt:lpstr>Resultados por Segmento</vt:lpstr>
      <vt:lpstr>Resultados Trimestrales</vt:lpstr>
      <vt:lpstr>Estado de situación financiera</vt:lpstr>
      <vt:lpstr>Deuda Financiera</vt:lpstr>
      <vt:lpstr>Flujo de efectivo</vt:lpstr>
      <vt:lpstr>Indicadores</vt:lpstr>
      <vt:lpstr>Cálculos</vt:lpstr>
      <vt:lpstr>Anualizados</vt:lpstr>
      <vt:lpstr>Resultado</vt:lpstr>
      <vt:lpstr>Balance</vt:lpstr>
      <vt:lpstr>Flujo</vt:lpstr>
      <vt:lpstr>'Resultados por Segmento'!_Hlk47472038</vt:lpstr>
      <vt:lpstr>Cálculos!Área_de_impresión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Jorge Douglas Cuellar Barry</cp:lastModifiedBy>
  <cp:lastPrinted>2011-04-19T13:35:12Z</cp:lastPrinted>
  <dcterms:created xsi:type="dcterms:W3CDTF">2009-05-16T00:13:33Z</dcterms:created>
  <dcterms:modified xsi:type="dcterms:W3CDTF">2025-05-13T13:05:14Z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KriptosClassAi">
    <vt:lpwstr>2-Confidencial</vt:lpwstr>
  </property>
  <property fmtid="{D5CDD505-2E9C-101B-9397-08002B2CF9AE}" pid="6" name="ContentTypeId">
    <vt:lpwstr>0x010100287904A346C7DD4CB5D7CA632F15255C</vt:lpwstr>
  </property>
  <property fmtid="{D5CDD505-2E9C-101B-9397-08002B2CF9AE}" pid="7" name="MediaServiceImageTags">
    <vt:lpwstr/>
  </property>
</Properties>
</file>